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45" windowWidth="7680" windowHeight="9045" activeTab="4"/>
  </bookViews>
  <sheets>
    <sheet name="Sponsored Programs" sheetId="1" r:id="rId1"/>
    <sheet name="Research" sheetId="2" r:id="rId2"/>
    <sheet name="Instruction" sheetId="3" r:id="rId3"/>
    <sheet name="Extension" sheetId="4" r:id="rId4"/>
    <sheet name="Supplemental Info" sheetId="5" r:id="rId5"/>
  </sheets>
  <definedNames>
    <definedName name="_xlnm.Print_Area" localSheetId="3">'Extension'!$A$1:$O$60</definedName>
    <definedName name="_xlnm.Print_Area" localSheetId="2">'Instruction'!$A$1:$O$62</definedName>
    <definedName name="_xlnm.Print_Area" localSheetId="1">'Research'!$A$1:$P$61</definedName>
    <definedName name="_xlnm.Print_Area" localSheetId="0">'Sponsored Programs'!$A$1:$O$64</definedName>
  </definedNames>
  <calcPr fullCalcOnLoad="1"/>
</workbook>
</file>

<file path=xl/sharedStrings.xml><?xml version="1.0" encoding="utf-8"?>
<sst xmlns="http://schemas.openxmlformats.org/spreadsheetml/2006/main" count="512" uniqueCount="96">
  <si>
    <t>Sponsored Program Fund Sources and Expenditures by Agency  (Based on Accrual)</t>
  </si>
  <si>
    <t>Human</t>
  </si>
  <si>
    <t>General</t>
  </si>
  <si>
    <t>Arts &amp;</t>
  </si>
  <si>
    <t>Environ.</t>
  </si>
  <si>
    <t>Veterinary</t>
  </si>
  <si>
    <t>Oklahoma</t>
  </si>
  <si>
    <t>Total</t>
  </si>
  <si>
    <t>University</t>
  </si>
  <si>
    <t>Agriculture</t>
  </si>
  <si>
    <t>Sciences</t>
  </si>
  <si>
    <t>Business</t>
  </si>
  <si>
    <t>Education</t>
  </si>
  <si>
    <t>Engineering</t>
  </si>
  <si>
    <t>Okmulgee</t>
  </si>
  <si>
    <t>Medicine</t>
  </si>
  <si>
    <t>City</t>
  </si>
  <si>
    <t>State</t>
  </si>
  <si>
    <t>(General Support)</t>
  </si>
  <si>
    <t>Ledger 1</t>
  </si>
  <si>
    <t>Direct Cost C/S</t>
  </si>
  <si>
    <t>Station Sales</t>
  </si>
  <si>
    <t>Restricted Fund-OSU</t>
  </si>
  <si>
    <t>Federal Sponsors</t>
  </si>
  <si>
    <t>State Sponsors</t>
  </si>
  <si>
    <t>Private Sponsors</t>
  </si>
  <si>
    <t>Tulsa</t>
  </si>
  <si>
    <t>Fed Appropriations</t>
  </si>
  <si>
    <t>Extension Fund Sources and Expenditures by Agency  (Based on Accrual)</t>
  </si>
  <si>
    <t>Center</t>
  </si>
  <si>
    <t>for Health</t>
  </si>
  <si>
    <t>Station Sale</t>
  </si>
  <si>
    <t>Instruction Fund Sources and Expenditures by Agency  (Based on Accrual)</t>
  </si>
  <si>
    <t>Research Fund Sources and Expenditures by Agency  (Based on Accrual)</t>
  </si>
  <si>
    <t xml:space="preserve"> </t>
  </si>
  <si>
    <t>Voluntary Waived F&amp;A</t>
  </si>
  <si>
    <t>Mandatory Waived F&amp;A</t>
  </si>
  <si>
    <t>Unfunded F&amp;A on C/S</t>
  </si>
  <si>
    <t>Recovered F&amp;A Restricted</t>
  </si>
  <si>
    <t>Part 1 A</t>
  </si>
  <si>
    <t>Part 1 B</t>
  </si>
  <si>
    <t>Part 1 B Continued</t>
  </si>
  <si>
    <t>Page 1</t>
  </si>
  <si>
    <t>Page 2</t>
  </si>
  <si>
    <t>Page 3</t>
  </si>
  <si>
    <t>Page 4</t>
  </si>
  <si>
    <t>Restricted Fund-CIED</t>
  </si>
  <si>
    <t>Restricted-CIED</t>
  </si>
  <si>
    <t xml:space="preserve">Total  </t>
  </si>
  <si>
    <t xml:space="preserve">Reconciliation </t>
  </si>
  <si>
    <t>Research</t>
  </si>
  <si>
    <t>Financial</t>
  </si>
  <si>
    <t>Report</t>
  </si>
  <si>
    <t>Statements</t>
  </si>
  <si>
    <t>Unrestricted</t>
  </si>
  <si>
    <t>Restricted</t>
  </si>
  <si>
    <t>Total per Financial Statements</t>
  </si>
  <si>
    <t>Direct C/S - Instruction</t>
  </si>
  <si>
    <t>EREDF Academic Support</t>
  </si>
  <si>
    <t>Debt Service (SC 9600)</t>
  </si>
  <si>
    <t>Account (AB-4-52109)</t>
  </si>
  <si>
    <t>Working Fund Adjustment</t>
  </si>
  <si>
    <t>Total per Report</t>
  </si>
  <si>
    <t>Reconciliation</t>
  </si>
  <si>
    <t>Unrestricted Research</t>
  </si>
  <si>
    <t>Restricted Research</t>
  </si>
  <si>
    <t>Sub-total</t>
  </si>
  <si>
    <t>EREDF Academic Spt - NASA Rpt</t>
  </si>
  <si>
    <t>Restricted Instruction</t>
  </si>
  <si>
    <t>Direct C/S</t>
  </si>
  <si>
    <t>Unrestricted Extension</t>
  </si>
  <si>
    <t>Restricted Extension</t>
  </si>
  <si>
    <t>Account (AB-4-52364)</t>
  </si>
  <si>
    <t>Miscellaneous Adjustment</t>
  </si>
  <si>
    <t>Page 5</t>
  </si>
  <si>
    <t>Part 2 A</t>
  </si>
  <si>
    <t>UML</t>
  </si>
  <si>
    <t>Plant Funds</t>
  </si>
  <si>
    <t>OSU Foundation</t>
  </si>
  <si>
    <t>In-kind Contributions</t>
  </si>
  <si>
    <t>Research on UML F/S</t>
  </si>
  <si>
    <t>Page 6</t>
  </si>
  <si>
    <t>Research Fund Sources and Expenditures by Agency (Based on Accrual)</t>
  </si>
  <si>
    <t>Part 2 B</t>
  </si>
  <si>
    <t>Page 7</t>
  </si>
  <si>
    <t>Part 2 B Continued</t>
  </si>
  <si>
    <t>Page 8</t>
  </si>
  <si>
    <t>Page 9</t>
  </si>
  <si>
    <t>Summary</t>
  </si>
  <si>
    <t>Part 1</t>
  </si>
  <si>
    <t>Part 2 *</t>
  </si>
  <si>
    <t>FY2011</t>
  </si>
  <si>
    <t>2012 Research Report Oklahoma State University</t>
  </si>
  <si>
    <t>FY 2012</t>
  </si>
  <si>
    <t>FY2012</t>
  </si>
  <si>
    <t>2011 Research Report Oklahoma State University - For Comparison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</si>
</sst>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i/>
      <u val="single"/>
      <sz val="8"/>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Alignment="1">
      <alignment/>
    </xf>
    <xf numFmtId="3" fontId="5" fillId="0" borderId="0" xfId="0" applyNumberFormat="1" applyFont="1" applyAlignment="1">
      <alignment/>
    </xf>
    <xf numFmtId="3" fontId="4" fillId="0" borderId="0" xfId="0" applyNumberFormat="1" applyFont="1" applyAlignment="1">
      <alignment/>
    </xf>
    <xf numFmtId="3" fontId="5" fillId="33" borderId="0" xfId="0" applyNumberFormat="1" applyFont="1" applyFill="1" applyAlignment="1">
      <alignment horizontal="center"/>
    </xf>
    <xf numFmtId="3" fontId="5" fillId="33" borderId="10" xfId="0" applyNumberFormat="1" applyFont="1" applyFill="1" applyBorder="1" applyAlignment="1">
      <alignment horizontal="center"/>
    </xf>
    <xf numFmtId="3" fontId="5" fillId="0" borderId="0" xfId="0" applyNumberFormat="1" applyFont="1" applyFill="1" applyAlignment="1">
      <alignment/>
    </xf>
    <xf numFmtId="3" fontId="5" fillId="0" borderId="0" xfId="0" applyNumberFormat="1" applyFont="1" applyFill="1" applyBorder="1" applyAlignment="1">
      <alignment horizontal="center"/>
    </xf>
    <xf numFmtId="3" fontId="4" fillId="0" borderId="0" xfId="0" applyNumberFormat="1" applyFont="1" applyFill="1" applyAlignment="1">
      <alignment/>
    </xf>
    <xf numFmtId="3" fontId="5"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0" xfId="0" applyNumberFormat="1" applyFont="1" applyAlignment="1">
      <alignment horizontal="right"/>
    </xf>
    <xf numFmtId="3" fontId="4" fillId="0" borderId="0" xfId="0" applyNumberFormat="1" applyFont="1" applyBorder="1" applyAlignment="1">
      <alignment/>
    </xf>
    <xf numFmtId="3" fontId="6" fillId="0" borderId="0" xfId="0" applyNumberFormat="1" applyFont="1" applyAlignment="1">
      <alignment/>
    </xf>
    <xf numFmtId="3" fontId="5" fillId="0" borderId="0" xfId="0" applyNumberFormat="1" applyFont="1" applyAlignment="1">
      <alignment/>
    </xf>
    <xf numFmtId="3" fontId="4" fillId="0" borderId="0" xfId="0" applyNumberFormat="1" applyFont="1" applyAlignment="1">
      <alignment/>
    </xf>
    <xf numFmtId="3" fontId="5" fillId="34" borderId="0" xfId="0" applyNumberFormat="1" applyFont="1" applyFill="1" applyAlignment="1">
      <alignment horizontal="center"/>
    </xf>
    <xf numFmtId="3" fontId="5" fillId="34" borderId="10" xfId="0" applyNumberFormat="1" applyFont="1" applyFill="1" applyBorder="1" applyAlignment="1">
      <alignment horizontal="center"/>
    </xf>
    <xf numFmtId="3" fontId="5" fillId="0" borderId="0" xfId="0" applyNumberFormat="1" applyFont="1" applyFill="1" applyBorder="1" applyAlignment="1">
      <alignment horizontal="center"/>
    </xf>
    <xf numFmtId="3" fontId="4" fillId="0" borderId="0" xfId="0" applyNumberFormat="1" applyFont="1" applyFill="1" applyAlignment="1">
      <alignment/>
    </xf>
    <xf numFmtId="38" fontId="4"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3" fontId="4" fillId="0" borderId="0" xfId="0" applyNumberFormat="1" applyFont="1" applyAlignment="1">
      <alignment horizontal="center"/>
    </xf>
    <xf numFmtId="3" fontId="4" fillId="0" borderId="0" xfId="0" applyNumberFormat="1" applyFont="1" applyAlignment="1" quotePrefix="1">
      <alignment/>
    </xf>
    <xf numFmtId="3" fontId="5" fillId="0" borderId="10" xfId="0" applyNumberFormat="1" applyFont="1" applyFill="1" applyBorder="1" applyAlignment="1">
      <alignment horizontal="center"/>
    </xf>
    <xf numFmtId="3" fontId="4" fillId="0" borderId="0" xfId="0" applyNumberFormat="1" applyFont="1" applyFill="1" applyBorder="1" applyAlignment="1">
      <alignment/>
    </xf>
    <xf numFmtId="3" fontId="5" fillId="0" borderId="0" xfId="0" applyNumberFormat="1" applyFont="1" applyAlignment="1">
      <alignment horizontal="center"/>
    </xf>
    <xf numFmtId="3" fontId="5" fillId="0" borderId="0" xfId="0" applyNumberFormat="1" applyFont="1" applyFill="1" applyAlignment="1">
      <alignment horizontal="center"/>
    </xf>
    <xf numFmtId="3" fontId="4" fillId="0" borderId="0" xfId="0" applyNumberFormat="1" applyFont="1" applyFill="1" applyBorder="1" applyAlignment="1">
      <alignment/>
    </xf>
    <xf numFmtId="3" fontId="5" fillId="34" borderId="0" xfId="0" applyNumberFormat="1" applyFont="1" applyFill="1" applyBorder="1" applyAlignment="1">
      <alignment horizontal="center"/>
    </xf>
    <xf numFmtId="3" fontId="5" fillId="33" borderId="0" xfId="0" applyNumberFormat="1" applyFont="1" applyFill="1" applyBorder="1" applyAlignment="1">
      <alignment horizontal="center"/>
    </xf>
    <xf numFmtId="3" fontId="5" fillId="0" borderId="0" xfId="0" applyNumberFormat="1" applyFont="1" applyAlignment="1">
      <alignment horizontal="right"/>
    </xf>
    <xf numFmtId="3" fontId="5" fillId="33" borderId="0" xfId="0" applyNumberFormat="1" applyFont="1" applyFill="1" applyAlignment="1">
      <alignment horizontal="center"/>
    </xf>
    <xf numFmtId="3" fontId="5" fillId="33" borderId="0" xfId="0" applyNumberFormat="1" applyFont="1" applyFill="1" applyBorder="1" applyAlignment="1">
      <alignment horizontal="center"/>
    </xf>
    <xf numFmtId="3" fontId="4" fillId="0" borderId="10" xfId="0" applyNumberFormat="1" applyFont="1" applyFill="1" applyBorder="1" applyAlignment="1">
      <alignment/>
    </xf>
    <xf numFmtId="3" fontId="4" fillId="0" borderId="11" xfId="0" applyNumberFormat="1" applyFont="1" applyFill="1" applyBorder="1" applyAlignment="1">
      <alignment/>
    </xf>
    <xf numFmtId="3" fontId="5" fillId="0" borderId="0" xfId="57" applyNumberFormat="1" applyFont="1">
      <alignment/>
      <protection/>
    </xf>
    <xf numFmtId="3" fontId="4" fillId="0" borderId="0" xfId="57" applyNumberFormat="1" applyFont="1">
      <alignment/>
      <protection/>
    </xf>
    <xf numFmtId="3" fontId="6" fillId="0" borderId="0" xfId="57" applyNumberFormat="1" applyFont="1">
      <alignment/>
      <protection/>
    </xf>
    <xf numFmtId="3" fontId="5" fillId="0" borderId="0" xfId="57" applyNumberFormat="1" applyFont="1" applyAlignment="1">
      <alignment horizontal="right"/>
      <protection/>
    </xf>
    <xf numFmtId="3" fontId="5" fillId="0" borderId="0" xfId="57" applyNumberFormat="1" applyFont="1" applyAlignment="1">
      <alignment horizontal="center"/>
      <protection/>
    </xf>
    <xf numFmtId="3" fontId="4" fillId="0" borderId="0" xfId="57" applyNumberFormat="1" applyFont="1" applyBorder="1">
      <alignment/>
      <protection/>
    </xf>
    <xf numFmtId="3" fontId="5" fillId="33" borderId="0" xfId="57" applyNumberFormat="1" applyFont="1" applyFill="1" applyAlignment="1">
      <alignment horizontal="center"/>
      <protection/>
    </xf>
    <xf numFmtId="3" fontId="5" fillId="0" borderId="0" xfId="57" applyNumberFormat="1" applyFont="1" applyFill="1" applyBorder="1" applyAlignment="1">
      <alignment horizontal="center"/>
      <protection/>
    </xf>
    <xf numFmtId="3" fontId="5" fillId="33" borderId="10" xfId="57" applyNumberFormat="1" applyFont="1" applyFill="1" applyBorder="1" applyAlignment="1">
      <alignment horizontal="center"/>
      <protection/>
    </xf>
    <xf numFmtId="3" fontId="5" fillId="0" borderId="10" xfId="57" applyNumberFormat="1" applyFont="1" applyFill="1" applyBorder="1" applyAlignment="1">
      <alignment horizontal="center"/>
      <protection/>
    </xf>
    <xf numFmtId="3" fontId="4" fillId="0" borderId="0" xfId="57" applyNumberFormat="1" applyFont="1" applyFill="1">
      <alignment/>
      <protection/>
    </xf>
    <xf numFmtId="3" fontId="5" fillId="0" borderId="0" xfId="57" applyNumberFormat="1" applyFont="1" applyFill="1" applyAlignment="1">
      <alignment horizontal="center"/>
      <protection/>
    </xf>
    <xf numFmtId="3" fontId="4" fillId="0" borderId="10" xfId="57" applyNumberFormat="1" applyFont="1" applyBorder="1">
      <alignment/>
      <protection/>
    </xf>
    <xf numFmtId="3" fontId="4" fillId="0" borderId="11" xfId="57" applyNumberFormat="1" applyFont="1" applyBorder="1">
      <alignment/>
      <protection/>
    </xf>
    <xf numFmtId="3" fontId="4" fillId="0" borderId="12" xfId="57" applyNumberFormat="1" applyFont="1" applyBorder="1">
      <alignment/>
      <protection/>
    </xf>
    <xf numFmtId="3" fontId="5" fillId="34" borderId="0" xfId="0" applyNumberFormat="1" applyFont="1" applyFill="1" applyAlignment="1">
      <alignment horizontal="center"/>
    </xf>
    <xf numFmtId="3" fontId="5" fillId="34" borderId="0"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Q69"/>
  <sheetViews>
    <sheetView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O62" sqref="O62"/>
    </sheetView>
  </sheetViews>
  <sheetFormatPr defaultColWidth="9.140625" defaultRowHeight="12.75" outlineLevelRow="1"/>
  <cols>
    <col min="1" max="1" width="19.00390625" style="2" customWidth="1"/>
    <col min="2" max="2" width="10.57421875" style="2" customWidth="1"/>
    <col min="3" max="3" width="9.8515625" style="2" bestFit="1" customWidth="1"/>
    <col min="4" max="4" width="10.57421875" style="2" customWidth="1"/>
    <col min="5" max="5" width="10.28125" style="2" customWidth="1"/>
    <col min="6" max="6" width="9.7109375" style="2" customWidth="1"/>
    <col min="7" max="7" width="10.57421875" style="2" customWidth="1"/>
    <col min="8" max="8" width="11.140625" style="2" customWidth="1"/>
    <col min="9" max="11" width="10.140625" style="2" customWidth="1"/>
    <col min="12" max="13" width="9.7109375" style="2" customWidth="1"/>
    <col min="14" max="14" width="10.00390625" style="2" bestFit="1" customWidth="1"/>
    <col min="15" max="15" width="9.57421875" style="2" bestFit="1" customWidth="1"/>
    <col min="16" max="16" width="9.57421875" style="28" bestFit="1" customWidth="1"/>
    <col min="17" max="16384" width="9.140625" style="2" customWidth="1"/>
  </cols>
  <sheetData>
    <row r="1" spans="1:15" ht="11.25">
      <c r="A1" s="8" t="s">
        <v>92</v>
      </c>
      <c r="H1" s="13"/>
      <c r="O1" s="33" t="s">
        <v>42</v>
      </c>
    </row>
    <row r="2" ht="11.25">
      <c r="A2" s="1" t="s">
        <v>0</v>
      </c>
    </row>
    <row r="3" spans="12:15" ht="11.25">
      <c r="L3" s="12"/>
      <c r="O3" s="28" t="s">
        <v>34</v>
      </c>
    </row>
    <row r="4" spans="1:17" ht="11.25">
      <c r="A4" s="14" t="s">
        <v>39</v>
      </c>
      <c r="B4" s="3"/>
      <c r="C4" s="3"/>
      <c r="D4" s="3"/>
      <c r="E4" s="3"/>
      <c r="F4" s="3"/>
      <c r="G4" s="3"/>
      <c r="H4" s="3" t="s">
        <v>1</v>
      </c>
      <c r="I4" s="3"/>
      <c r="J4" s="3"/>
      <c r="K4" s="3"/>
      <c r="L4" s="18" t="s">
        <v>29</v>
      </c>
      <c r="M4" s="3"/>
      <c r="N4" s="3"/>
      <c r="O4" s="34" t="s">
        <v>93</v>
      </c>
      <c r="P4" s="34" t="s">
        <v>91</v>
      </c>
      <c r="Q4" s="28"/>
    </row>
    <row r="5" spans="2:17" ht="11.25">
      <c r="B5" s="3" t="s">
        <v>2</v>
      </c>
      <c r="C5" s="3"/>
      <c r="D5" s="3" t="s">
        <v>3</v>
      </c>
      <c r="E5" s="3"/>
      <c r="F5" s="3"/>
      <c r="G5" s="3"/>
      <c r="H5" s="3" t="s">
        <v>4</v>
      </c>
      <c r="I5" s="3"/>
      <c r="J5" s="3" t="s">
        <v>5</v>
      </c>
      <c r="K5" s="3" t="s">
        <v>6</v>
      </c>
      <c r="L5" s="18" t="s">
        <v>30</v>
      </c>
      <c r="M5" s="3"/>
      <c r="N5" s="3"/>
      <c r="O5" s="34" t="s">
        <v>48</v>
      </c>
      <c r="P5" s="3" t="s">
        <v>7</v>
      </c>
      <c r="Q5" s="28"/>
    </row>
    <row r="6" spans="2:17" ht="11.25">
      <c r="B6" s="4" t="s">
        <v>8</v>
      </c>
      <c r="C6" s="4" t="s">
        <v>9</v>
      </c>
      <c r="D6" s="4" t="s">
        <v>10</v>
      </c>
      <c r="E6" s="4" t="s">
        <v>11</v>
      </c>
      <c r="F6" s="4" t="s">
        <v>12</v>
      </c>
      <c r="G6" s="4" t="s">
        <v>13</v>
      </c>
      <c r="H6" s="4" t="s">
        <v>10</v>
      </c>
      <c r="I6" s="4" t="s">
        <v>14</v>
      </c>
      <c r="J6" s="4" t="s">
        <v>15</v>
      </c>
      <c r="K6" s="4" t="s">
        <v>16</v>
      </c>
      <c r="L6" s="26" t="s">
        <v>10</v>
      </c>
      <c r="M6" s="4" t="s">
        <v>26</v>
      </c>
      <c r="N6" s="35" t="s">
        <v>76</v>
      </c>
      <c r="O6" s="35" t="s">
        <v>8</v>
      </c>
      <c r="P6" s="32" t="s">
        <v>8</v>
      </c>
      <c r="Q6" s="28"/>
    </row>
    <row r="7" spans="1:17" s="7" customFormat="1" ht="11.25">
      <c r="A7" s="5" t="s">
        <v>17</v>
      </c>
      <c r="B7" s="6"/>
      <c r="C7" s="6"/>
      <c r="D7" s="6"/>
      <c r="E7" s="6"/>
      <c r="F7" s="6"/>
      <c r="G7" s="6"/>
      <c r="H7" s="6"/>
      <c r="I7" s="6"/>
      <c r="J7" s="6"/>
      <c r="K7" s="6"/>
      <c r="L7" s="6"/>
      <c r="M7" s="6"/>
      <c r="N7" s="6"/>
      <c r="O7" s="6"/>
      <c r="P7" s="6"/>
      <c r="Q7" s="29"/>
    </row>
    <row r="8" spans="1:17" ht="11.25" customHeight="1">
      <c r="A8" s="8" t="s">
        <v>18</v>
      </c>
      <c r="B8" s="2">
        <f>SUM(B9:B14)</f>
        <v>12616018.019999998</v>
      </c>
      <c r="C8" s="2">
        <f aca="true" t="shared" si="0" ref="C8:P8">SUM(C9:C14)</f>
        <v>66527928.06000001</v>
      </c>
      <c r="D8" s="2">
        <f t="shared" si="0"/>
        <v>15181139.76</v>
      </c>
      <c r="E8" s="2">
        <f t="shared" si="0"/>
        <v>3540271.01</v>
      </c>
      <c r="F8" s="2">
        <f t="shared" si="0"/>
        <v>1057252.97</v>
      </c>
      <c r="G8" s="2">
        <f t="shared" si="0"/>
        <v>10586079.379999999</v>
      </c>
      <c r="H8" s="2">
        <f t="shared" si="0"/>
        <v>1439163.3</v>
      </c>
      <c r="I8" s="2">
        <f>SUM(I9:I14)</f>
        <v>607137.4600000001</v>
      </c>
      <c r="J8" s="2">
        <f t="shared" si="0"/>
        <v>9390129.55</v>
      </c>
      <c r="K8" s="2">
        <f t="shared" si="0"/>
        <v>1880236.12</v>
      </c>
      <c r="L8" s="2">
        <f t="shared" si="0"/>
        <v>5848827.5</v>
      </c>
      <c r="M8" s="2">
        <f t="shared" si="0"/>
        <v>426146.66000000003</v>
      </c>
      <c r="N8" s="2">
        <f t="shared" si="0"/>
        <v>0</v>
      </c>
      <c r="O8" s="2">
        <f t="shared" si="0"/>
        <v>129100329.79000004</v>
      </c>
      <c r="P8" s="2">
        <f t="shared" si="0"/>
        <v>124757559</v>
      </c>
      <c r="Q8" s="28"/>
    </row>
    <row r="9" spans="1:17" s="7" customFormat="1" ht="11.25" customHeight="1" outlineLevel="1">
      <c r="A9" s="7" t="s">
        <v>19</v>
      </c>
      <c r="B9" s="7">
        <f>SUM(Research!B9+Instruction!B9+Extension!B9)</f>
        <v>11125201.879999999</v>
      </c>
      <c r="C9" s="7">
        <f>SUM(Research!C9+Instruction!C9+Extension!C9)</f>
        <v>57301785.6</v>
      </c>
      <c r="D9" s="7">
        <f>SUM(Research!D9+Instruction!D9+Extension!D9)</f>
        <v>13630120.79</v>
      </c>
      <c r="E9" s="7">
        <f>SUM(Research!E9+Instruction!E9+Extension!E9)</f>
        <v>3462057.73</v>
      </c>
      <c r="F9" s="7">
        <f>SUM(Research!F9+Instruction!F9+Extension!F9)</f>
        <v>456450.01</v>
      </c>
      <c r="G9" s="7">
        <f>SUM(Research!G9+Instruction!G9+Extension!G9)</f>
        <v>7472710.3</v>
      </c>
      <c r="H9" s="7">
        <f>SUM(Research!H9+Instruction!H9+Extension!H9)</f>
        <v>825010.48</v>
      </c>
      <c r="I9" s="7">
        <f>SUM(Research!I9+Instruction!I9+Extension!I9)</f>
        <v>5003.39</v>
      </c>
      <c r="J9" s="7">
        <f>SUM(Research!J9+Instruction!J9+Extension!J9)</f>
        <v>7995703.130000001</v>
      </c>
      <c r="K9" s="7">
        <f>SUM(Research!K9+Instruction!K9+Extension!K9)</f>
        <v>0</v>
      </c>
      <c r="L9" s="7">
        <f>SUM(Research!L9+Instruction!L9+Extension!L9)</f>
        <v>4574697.29</v>
      </c>
      <c r="M9" s="7">
        <f>SUM(Research!M9+Instruction!M9+Extension!M9)</f>
        <v>425581.18000000005</v>
      </c>
      <c r="O9" s="7">
        <f aca="true" t="shared" si="1" ref="O9:O14">SUM(B9:N9)</f>
        <v>107274321.78000003</v>
      </c>
      <c r="P9" s="7">
        <v>100472823</v>
      </c>
      <c r="Q9" s="29"/>
    </row>
    <row r="10" spans="1:17" s="7" customFormat="1" ht="11.25" customHeight="1" outlineLevel="1">
      <c r="A10" s="7" t="s">
        <v>20</v>
      </c>
      <c r="B10" s="7">
        <f>SUM(Research!B10+Instruction!B10+Extension!B10)</f>
        <v>22521.949999999997</v>
      </c>
      <c r="C10" s="7">
        <f>SUM(Research!C10+Instruction!C10+Extension!C10)</f>
        <v>640503.59</v>
      </c>
      <c r="D10" s="7">
        <f>SUM(Research!D10+Instruction!D10+Extension!D10)</f>
        <v>535814.21</v>
      </c>
      <c r="E10" s="7">
        <f>SUM(Research!E10+Instruction!E10+Extension!E10)</f>
        <v>0</v>
      </c>
      <c r="F10" s="7">
        <f>SUM(Research!F10+Instruction!F10+Extension!F10)</f>
        <v>0</v>
      </c>
      <c r="G10" s="7">
        <f>SUM(Research!G10+Instruction!G10+Extension!G10)</f>
        <v>840140.6100000001</v>
      </c>
      <c r="H10" s="7">
        <f>SUM(Research!H10+Instruction!H10+Extension!H10)</f>
        <v>36971.46</v>
      </c>
      <c r="I10" s="7">
        <f>SUM(Research!I10+Instruction!I10+Extension!I10)</f>
        <v>0</v>
      </c>
      <c r="J10" s="7">
        <f>SUM(Research!J10+Instruction!J10+Extension!J10)</f>
        <v>252805.58000000002</v>
      </c>
      <c r="K10" s="7">
        <f>SUM(Research!K10+Instruction!K10+Extension!K10)</f>
        <v>530491.03</v>
      </c>
      <c r="L10" s="7">
        <f>SUM(Research!L10+Instruction!L10+Extension!L10)</f>
        <v>534322.82</v>
      </c>
      <c r="M10" s="7">
        <f>SUM(Research!M10+Instruction!M10+Extension!M10)</f>
        <v>0</v>
      </c>
      <c r="O10" s="7">
        <f t="shared" si="1"/>
        <v>3393571.2499999995</v>
      </c>
      <c r="P10" s="7">
        <v>4586998</v>
      </c>
      <c r="Q10" s="29"/>
    </row>
    <row r="11" spans="1:17" ht="11.25" outlineLevel="1">
      <c r="A11" s="2" t="s">
        <v>21</v>
      </c>
      <c r="B11" s="2">
        <f>SUM(Research!B11+Instruction!B11+Extension!B11)</f>
        <v>0</v>
      </c>
      <c r="C11" s="2">
        <f>SUM(Research!C11+Instruction!C11+Extension!C11)</f>
        <v>5015024.39</v>
      </c>
      <c r="D11" s="2">
        <f>SUM(Research!D11+Instruction!D11+Extension!D11)</f>
        <v>0</v>
      </c>
      <c r="E11" s="2">
        <f>SUM(Research!E11+Instruction!E11+Extension!E11)</f>
        <v>0</v>
      </c>
      <c r="F11" s="2">
        <f>SUM(Research!F11+Instruction!F11+Extension!F11)</f>
        <v>0</v>
      </c>
      <c r="G11" s="2">
        <f>SUM(Research!G11+Instruction!G11+Extension!G11)</f>
        <v>0</v>
      </c>
      <c r="H11" s="2">
        <f>SUM(Research!H11+Instruction!H11+Extension!H11)</f>
        <v>0</v>
      </c>
      <c r="I11" s="2">
        <f>SUM(Research!I11+Instruction!I11+Extension!I11)</f>
        <v>0</v>
      </c>
      <c r="J11" s="2">
        <f>SUM(Research!J11+Instruction!J11+Extension!J11)</f>
        <v>0</v>
      </c>
      <c r="K11" s="2">
        <f>SUM(Research!K11+Instruction!K11+Extension!K11)</f>
        <v>0</v>
      </c>
      <c r="L11" s="2">
        <f>SUM(Research!L11+Instruction!L11+Extension!L11)</f>
        <v>0</v>
      </c>
      <c r="M11" s="2">
        <f>SUM(Research!M11+Instruction!M11+Extension!M11)</f>
        <v>0</v>
      </c>
      <c r="O11" s="7">
        <f t="shared" si="1"/>
        <v>5015024.39</v>
      </c>
      <c r="P11" s="2">
        <v>5663170</v>
      </c>
      <c r="Q11" s="28"/>
    </row>
    <row r="12" spans="1:17" ht="11.25" outlineLevel="1">
      <c r="A12" s="15" t="s">
        <v>35</v>
      </c>
      <c r="B12" s="2">
        <f>SUM(Research!B12+Instruction!B12+Extension!B12)</f>
        <v>0</v>
      </c>
      <c r="C12" s="2">
        <f>SUM(Research!C12+Instruction!C12+Extension!C12)</f>
        <v>5414.02</v>
      </c>
      <c r="D12" s="2">
        <f>SUM(Research!D12+Instruction!D12+Extension!D12)</f>
        <v>6211.58</v>
      </c>
      <c r="E12" s="2">
        <f>SUM(Research!E12+Instruction!E12+Extension!E12)</f>
        <v>0</v>
      </c>
      <c r="F12" s="2">
        <f>SUM(Research!F12+Instruction!F12+Extension!F12)</f>
        <v>43161</v>
      </c>
      <c r="G12" s="2">
        <f>SUM(Research!G12+Instruction!G12+Extension!G12)</f>
        <v>70170.47</v>
      </c>
      <c r="H12" s="2">
        <f>SUM(Research!H12+Instruction!H12+Extension!H12)</f>
        <v>0</v>
      </c>
      <c r="I12" s="2">
        <f>SUM(Research!I12+Instruction!I12+Extension!I12)</f>
        <v>0</v>
      </c>
      <c r="J12" s="2">
        <f>SUM(Research!J12+Instruction!J12+Extension!J12)</f>
        <v>1715.41</v>
      </c>
      <c r="K12" s="2">
        <f>SUM(Research!K12+Instruction!K12+Extension!K12)</f>
        <v>0</v>
      </c>
      <c r="L12" s="2">
        <f>SUM(Research!L12+Instruction!L12+Extension!L12)</f>
        <v>7798.99</v>
      </c>
      <c r="M12" s="2">
        <f>SUM(Research!M12+Instruction!M12+Extension!M12)</f>
        <v>0</v>
      </c>
      <c r="O12" s="7">
        <f t="shared" si="1"/>
        <v>134471.47</v>
      </c>
      <c r="P12" s="2">
        <v>146194</v>
      </c>
      <c r="Q12" s="29"/>
    </row>
    <row r="13" spans="1:17" ht="11.25" outlineLevel="1">
      <c r="A13" s="15" t="s">
        <v>36</v>
      </c>
      <c r="B13" s="2">
        <f>SUM(Research!B13+Instruction!B13+Extension!B13)</f>
        <v>1456641.63</v>
      </c>
      <c r="C13" s="2">
        <f>SUM(Research!C13+Instruction!C13+Extension!C13)</f>
        <v>3327134.0300000003</v>
      </c>
      <c r="D13" s="2">
        <f>SUM(Research!D13+Instruction!D13+Extension!D13)</f>
        <v>782426.34</v>
      </c>
      <c r="E13" s="2">
        <f>SUM(Research!E13+Instruction!E13+Extension!E13)</f>
        <v>78213.28</v>
      </c>
      <c r="F13" s="2">
        <f>SUM(Research!F13+Instruction!F13+Extension!F13)</f>
        <v>557641.96</v>
      </c>
      <c r="G13" s="2">
        <f>SUM(Research!G13+Instruction!G13+Extension!G13)</f>
        <v>1834683.14</v>
      </c>
      <c r="H13" s="2">
        <f>SUM(Research!H13+Instruction!H13+Extension!H13)</f>
        <v>564980.78</v>
      </c>
      <c r="I13" s="2">
        <f>SUM(Research!I13+Instruction!I13+Extension!I13)</f>
        <v>602134.0700000001</v>
      </c>
      <c r="J13" s="2">
        <f>SUM(Research!J13+Instruction!J13+Extension!J13)</f>
        <v>1031820.14</v>
      </c>
      <c r="K13" s="2">
        <f>SUM(Research!K13+Instruction!K13+Extension!K13)</f>
        <v>1062749.44</v>
      </c>
      <c r="L13" s="2">
        <f>SUM(Research!L13+Instruction!L13+Extension!L13)</f>
        <v>601099.31</v>
      </c>
      <c r="M13" s="2">
        <f>SUM(Research!M13+Instruction!M13+Extension!M13)</f>
        <v>565.48</v>
      </c>
      <c r="O13" s="7">
        <f t="shared" si="1"/>
        <v>11900089.600000001</v>
      </c>
      <c r="P13" s="2">
        <v>12103333</v>
      </c>
      <c r="Q13" s="29"/>
    </row>
    <row r="14" spans="1:17" ht="11.25" outlineLevel="1">
      <c r="A14" s="15" t="s">
        <v>37</v>
      </c>
      <c r="B14" s="2">
        <f>SUM(Research!B14+Instruction!B14+Extension!B14)</f>
        <v>11652.560000000001</v>
      </c>
      <c r="C14" s="7">
        <f>SUM(Research!C14+Instruction!C14+Extension!C14)</f>
        <v>238066.43</v>
      </c>
      <c r="D14" s="2">
        <f>SUM(Research!D14+Instruction!D14+Extension!D14)</f>
        <v>226566.84</v>
      </c>
      <c r="E14" s="2">
        <f>SUM(Research!E14+Instruction!E14+Extension!E14)</f>
        <v>0</v>
      </c>
      <c r="F14" s="2">
        <f>SUM(Research!F14+Instruction!F14+Extension!F14)</f>
        <v>0</v>
      </c>
      <c r="G14" s="2">
        <f>SUM(Research!G14+Instruction!G14+Extension!G14)</f>
        <v>368374.86</v>
      </c>
      <c r="H14" s="2">
        <f>SUM(Research!H14+Instruction!H14+Extension!H14)</f>
        <v>12200.58</v>
      </c>
      <c r="I14" s="2">
        <f>SUM(Research!I14+Instruction!I14+Extension!I14)</f>
        <v>0</v>
      </c>
      <c r="J14" s="2">
        <f>SUM(Research!J14+Instruction!J14+Extension!J14)</f>
        <v>108085.29000000001</v>
      </c>
      <c r="K14" s="2">
        <f>SUM(Research!K14+Instruction!K14+Extension!K14)</f>
        <v>286995.65</v>
      </c>
      <c r="L14" s="2">
        <f>SUM(Research!L14+Instruction!L14+Extension!L14)</f>
        <v>130909.09</v>
      </c>
      <c r="M14" s="2">
        <f>SUM(Research!M14+Instruction!M14+Extension!M14)</f>
        <v>0</v>
      </c>
      <c r="O14" s="7">
        <f t="shared" si="1"/>
        <v>1382851.3</v>
      </c>
      <c r="P14" s="2">
        <v>1785041</v>
      </c>
      <c r="Q14" s="18"/>
    </row>
    <row r="15" spans="16:17" ht="11.25">
      <c r="P15" s="2"/>
      <c r="Q15" s="28"/>
    </row>
    <row r="16" spans="1:17" ht="11.25">
      <c r="A16" s="1" t="s">
        <v>25</v>
      </c>
      <c r="B16" s="2">
        <f aca="true" t="shared" si="2" ref="B16:P16">SUM(B17:B19)</f>
        <v>3105811.6999999997</v>
      </c>
      <c r="C16" s="2">
        <f t="shared" si="2"/>
        <v>1950515.71</v>
      </c>
      <c r="D16" s="2">
        <f t="shared" si="2"/>
        <v>1197644.4499999997</v>
      </c>
      <c r="E16" s="2">
        <f t="shared" si="2"/>
        <v>42240.090000000004</v>
      </c>
      <c r="F16" s="2">
        <f t="shared" si="2"/>
        <v>80637.03</v>
      </c>
      <c r="G16" s="2">
        <f t="shared" si="2"/>
        <v>1167108.94</v>
      </c>
      <c r="H16" s="2">
        <f t="shared" si="2"/>
        <v>386234.45999999996</v>
      </c>
      <c r="I16" s="2">
        <f t="shared" si="2"/>
        <v>235186.72</v>
      </c>
      <c r="J16" s="2">
        <f t="shared" si="2"/>
        <v>2936287.4899999998</v>
      </c>
      <c r="K16" s="2">
        <f t="shared" si="2"/>
        <v>520417.97</v>
      </c>
      <c r="L16" s="2">
        <f t="shared" si="2"/>
        <v>762018.7699999999</v>
      </c>
      <c r="M16" s="2">
        <f t="shared" si="2"/>
        <v>0</v>
      </c>
      <c r="N16" s="2">
        <f t="shared" si="2"/>
        <v>0</v>
      </c>
      <c r="O16" s="2">
        <f t="shared" si="2"/>
        <v>12384103.329999998</v>
      </c>
      <c r="P16" s="2">
        <f t="shared" si="2"/>
        <v>12573584</v>
      </c>
      <c r="Q16" s="28"/>
    </row>
    <row r="17" spans="1:17" ht="11.25" outlineLevel="1">
      <c r="A17" s="2" t="s">
        <v>22</v>
      </c>
      <c r="B17" s="2">
        <f>SUM(Research!B17+Instruction!B17+Extension!B17)</f>
        <v>3040514.3899999997</v>
      </c>
      <c r="C17" s="2">
        <f>SUM(Research!C17+Instruction!C17+Extension!C17)</f>
        <v>1813723.87</v>
      </c>
      <c r="D17" s="2">
        <f>SUM(Research!D17+Instruction!D17+Extension!D17)</f>
        <v>1055731.2599999998</v>
      </c>
      <c r="E17" s="2">
        <f>SUM(Research!E17+Instruction!E17+Extension!E17)</f>
        <v>35024.05</v>
      </c>
      <c r="F17" s="2">
        <f>SUM(Research!F17+Instruction!F17+Extension!F17)</f>
        <v>80637.02</v>
      </c>
      <c r="G17" s="2">
        <f>SUM(Research!G17+Instruction!G17+Extension!G17)</f>
        <v>962203.92</v>
      </c>
      <c r="H17" s="2">
        <f>SUM(Research!H17+Instruction!H17+Extension!H17)</f>
        <v>374126.20999999996</v>
      </c>
      <c r="I17" s="2">
        <f>SUM(Research!I17+Instruction!I17+Extension!I17)</f>
        <v>235186.72</v>
      </c>
      <c r="J17" s="2">
        <f>SUM(Research!J17+Instruction!J17+Extension!J17)</f>
        <v>2601319.17</v>
      </c>
      <c r="K17" s="2">
        <f>SUM(Research!K17+Instruction!K17+Extension!K17)</f>
        <v>520417.97</v>
      </c>
      <c r="L17" s="2">
        <f>SUM(Research!L17+Instruction!L17+Extension!L17)</f>
        <v>702650.4299999999</v>
      </c>
      <c r="M17" s="2">
        <f>SUM(Research!M17+Instruction!M17+Extension!M17)</f>
        <v>0</v>
      </c>
      <c r="O17" s="7">
        <f>SUM(B17:N17)</f>
        <v>11421535.01</v>
      </c>
      <c r="P17" s="2">
        <v>11365316</v>
      </c>
      <c r="Q17" s="28"/>
    </row>
    <row r="18" spans="1:17" ht="11.25" outlineLevel="1">
      <c r="A18" s="2" t="s">
        <v>46</v>
      </c>
      <c r="B18" s="2">
        <f>SUM(Research!B18+Instruction!B18+Extension!B18)</f>
        <v>995.23</v>
      </c>
      <c r="C18" s="2">
        <f>SUM(Research!C18+Instruction!C18+Extension!C18)</f>
        <v>7223.64</v>
      </c>
      <c r="D18" s="2">
        <f>SUM(Research!D18+Instruction!D18+Extension!D18)</f>
        <v>0</v>
      </c>
      <c r="E18" s="2">
        <f>SUM(Research!E18+Instruction!E18+Extension!E18)</f>
        <v>0</v>
      </c>
      <c r="F18" s="2">
        <f>SUM(Research!F18+Instruction!F18+Extension!F18)</f>
        <v>0</v>
      </c>
      <c r="G18" s="2">
        <f>SUM(Research!G18+Instruction!G18+Extension!G18)</f>
        <v>0</v>
      </c>
      <c r="H18" s="2">
        <f>SUM(Research!H18+Instruction!H18+Extension!H18)</f>
        <v>0</v>
      </c>
      <c r="I18" s="2">
        <f>SUM(Research!I18+Instruction!I18+Extension!I18)</f>
        <v>0</v>
      </c>
      <c r="J18" s="2">
        <f>SUM(Research!J18+Instruction!J18+Extension!J18)</f>
        <v>0</v>
      </c>
      <c r="K18" s="2">
        <f>SUM(Research!K18+Instruction!K18+Extension!K18)</f>
        <v>0</v>
      </c>
      <c r="L18" s="2">
        <f>SUM(Research!L18+Instruction!L18+Extension!L18)</f>
        <v>0</v>
      </c>
      <c r="M18" s="2">
        <f>SUM(Research!M18+Instruction!M18+Extension!M18)</f>
        <v>0</v>
      </c>
      <c r="O18" s="7">
        <f>SUM(B18:N18)</f>
        <v>8218.87</v>
      </c>
      <c r="P18" s="2">
        <v>75470</v>
      </c>
      <c r="Q18" s="28"/>
    </row>
    <row r="19" spans="1:17" ht="11.25" outlineLevel="1">
      <c r="A19" s="15" t="s">
        <v>38</v>
      </c>
      <c r="B19" s="2">
        <f>SUM(Research!B19+Instruction!B19+Extension!B19)</f>
        <v>64302.08</v>
      </c>
      <c r="C19" s="2">
        <f>SUM(Research!C19+Instruction!C19+Extension!C19)</f>
        <v>129568.2</v>
      </c>
      <c r="D19" s="2">
        <f>SUM(Research!D19+Instruction!D19+Extension!D19)</f>
        <v>141913.19</v>
      </c>
      <c r="E19" s="2">
        <f>SUM(Research!E19+Instruction!E19+Extension!E19)</f>
        <v>7216.04</v>
      </c>
      <c r="F19" s="2">
        <f>SUM(Research!F19+Instruction!F19+Extension!F19)</f>
        <v>0.01</v>
      </c>
      <c r="G19" s="2">
        <f>SUM(Research!G19+Instruction!G19+Extension!G19)</f>
        <v>204905.02</v>
      </c>
      <c r="H19" s="2">
        <f>SUM(Research!H19+Instruction!H19+Extension!H19)</f>
        <v>12108.25</v>
      </c>
      <c r="I19" s="2">
        <f>SUM(Research!I19+Instruction!I19+Extension!I19)</f>
        <v>0</v>
      </c>
      <c r="J19" s="2">
        <f>SUM(Research!J19+Instruction!J19+Extension!J19)</f>
        <v>334968.32</v>
      </c>
      <c r="K19" s="2">
        <f>SUM(Research!K19+Instruction!K19+Extension!K19)</f>
        <v>0</v>
      </c>
      <c r="L19" s="2">
        <f>SUM(Research!L19+Instruction!L19+Extension!L19)</f>
        <v>59368.34</v>
      </c>
      <c r="M19" s="2">
        <f>SUM(Research!M19+Instruction!M19+Extension!M19)</f>
        <v>0</v>
      </c>
      <c r="O19" s="7">
        <f>SUM(B19:N19)</f>
        <v>954349.4499999998</v>
      </c>
      <c r="P19" s="2">
        <v>1132798</v>
      </c>
      <c r="Q19" s="28"/>
    </row>
    <row r="20" spans="16:17" ht="11.25">
      <c r="P20" s="2"/>
      <c r="Q20" s="28"/>
    </row>
    <row r="21" spans="1:17" ht="11.25">
      <c r="A21" s="1" t="s">
        <v>23</v>
      </c>
      <c r="B21" s="2">
        <f aca="true" t="shared" si="3" ref="B21:P21">SUM(B22:B24)</f>
        <v>9289514.14</v>
      </c>
      <c r="C21" s="2">
        <f t="shared" si="3"/>
        <v>15484845.12</v>
      </c>
      <c r="D21" s="2">
        <f t="shared" si="3"/>
        <v>10106260.969</v>
      </c>
      <c r="E21" s="2">
        <f t="shared" si="3"/>
        <v>655964.62</v>
      </c>
      <c r="F21" s="2">
        <f t="shared" si="3"/>
        <v>7975725.34</v>
      </c>
      <c r="G21" s="2">
        <f t="shared" si="3"/>
        <v>19998036.689999998</v>
      </c>
      <c r="H21" s="2">
        <f t="shared" si="3"/>
        <v>3976201.74</v>
      </c>
      <c r="I21" s="2">
        <f t="shared" si="3"/>
        <v>1567465.9800000002</v>
      </c>
      <c r="J21" s="2">
        <f t="shared" si="3"/>
        <v>4948577.15</v>
      </c>
      <c r="K21" s="2">
        <f t="shared" si="3"/>
        <v>3563732.2300000004</v>
      </c>
      <c r="L21" s="2">
        <f t="shared" si="3"/>
        <v>4101083.16</v>
      </c>
      <c r="M21" s="2">
        <f t="shared" si="3"/>
        <v>3541.1099999999997</v>
      </c>
      <c r="N21" s="2">
        <f t="shared" si="3"/>
        <v>31158170.67</v>
      </c>
      <c r="O21" s="2">
        <f t="shared" si="3"/>
        <v>112829118.919</v>
      </c>
      <c r="P21" s="2">
        <f t="shared" si="3"/>
        <v>79905950</v>
      </c>
      <c r="Q21" s="28"/>
    </row>
    <row r="22" spans="1:17" ht="11.25" outlineLevel="1">
      <c r="A22" s="2" t="s">
        <v>22</v>
      </c>
      <c r="B22" s="2">
        <f>SUM(Research!B22+Instruction!B22+Extension!B22)</f>
        <v>7028143.83</v>
      </c>
      <c r="C22" s="2">
        <f>SUM(Research!C22+Instruction!C22+Extension!C22)</f>
        <v>13287137.36</v>
      </c>
      <c r="D22" s="2">
        <f>SUM(Research!D22+Instruction!D22+Extension!D22)</f>
        <v>8182616</v>
      </c>
      <c r="E22" s="2">
        <f>SUM(Research!E22+Instruction!E22+Extension!E22)</f>
        <v>490571.57999999996</v>
      </c>
      <c r="F22" s="2">
        <f>SUM(Research!F22+Instruction!F22+Extension!F22)</f>
        <v>237586.06000000003</v>
      </c>
      <c r="G22" s="2">
        <f>SUM(Research!G22+Instruction!G22+Extension!G22)</f>
        <v>10019785.58</v>
      </c>
      <c r="H22" s="2">
        <f>SUM(Research!H22+Instruction!H22+Extension!H22)</f>
        <v>3251477.95</v>
      </c>
      <c r="I22" s="2">
        <f>SUM(Research!I22+Instruction!I22+Extension!I22)</f>
        <v>1545881.9300000002</v>
      </c>
      <c r="J22" s="2">
        <f>SUM(Research!J22+Instruction!J22+Extension!J22)</f>
        <v>3743987.3200000003</v>
      </c>
      <c r="K22" s="2">
        <f>SUM(Research!K22+Instruction!K22+Extension!K22)</f>
        <v>3412583.99</v>
      </c>
      <c r="L22" s="2">
        <f>SUM(Research!L22+Instruction!L22+Extension!L22)</f>
        <v>3864334.18</v>
      </c>
      <c r="M22" s="2">
        <f>SUM(Research!M22+Instruction!M22+Extension!M22)</f>
        <v>3281.12</v>
      </c>
      <c r="N22" s="2">
        <f>Research!N22</f>
        <v>31158170.67</v>
      </c>
      <c r="O22" s="7">
        <f>SUM(B22:N22)</f>
        <v>86225557.57</v>
      </c>
      <c r="P22" s="2">
        <v>52278144</v>
      </c>
      <c r="Q22" s="28"/>
    </row>
    <row r="23" spans="1:17" ht="11.25" outlineLevel="1">
      <c r="A23" s="2" t="s">
        <v>46</v>
      </c>
      <c r="B23" s="2">
        <f>SUM(Research!B23+Instruction!B23+Extension!B23)</f>
        <v>1211844.42</v>
      </c>
      <c r="C23" s="2">
        <f>SUM(Research!C23+Instruction!C23+Extension!C23)</f>
        <v>5437.84</v>
      </c>
      <c r="D23" s="2">
        <f>SUM(Research!D23+Instruction!D23+Extension!D23)</f>
        <v>1701.5</v>
      </c>
      <c r="E23" s="2">
        <f>SUM(Research!E23+Instruction!E23+Extension!E23)</f>
        <v>5727.28</v>
      </c>
      <c r="F23" s="2">
        <f>SUM(Research!F23+Instruction!F23+Extension!F23)</f>
        <v>6143496.51</v>
      </c>
      <c r="G23" s="2">
        <f>SUM(Research!G23+Instruction!G23+Extension!G23)</f>
        <v>6686313.369999999</v>
      </c>
      <c r="H23" s="2">
        <f>SUM(Research!H23+Instruction!H23+Extension!H23)</f>
        <v>0</v>
      </c>
      <c r="I23" s="2">
        <f>SUM(Research!I23+Instruction!I23+Extension!I23)</f>
        <v>0</v>
      </c>
      <c r="J23" s="2">
        <f>SUM(Research!J23+Instruction!J23+Extension!J23)</f>
        <v>7412.22</v>
      </c>
      <c r="K23" s="2">
        <f>SUM(Research!K23+Instruction!K23+Extension!K23)</f>
        <v>0</v>
      </c>
      <c r="L23" s="2">
        <f>SUM(Research!L23+Instruction!L23+Extension!L23)</f>
        <v>0</v>
      </c>
      <c r="M23" s="2">
        <f>SUM(Research!M23+Instruction!M23+Extension!M23)</f>
        <v>0</v>
      </c>
      <c r="O23" s="7">
        <f>SUM(B23:N23)</f>
        <v>14061933.139999999</v>
      </c>
      <c r="P23" s="2">
        <v>15196475</v>
      </c>
      <c r="Q23" s="28"/>
    </row>
    <row r="24" spans="1:17" ht="11.25" outlineLevel="1">
      <c r="A24" s="15" t="s">
        <v>38</v>
      </c>
      <c r="B24" s="2">
        <f>SUM(Research!B24+Instruction!B24+Extension!B24)</f>
        <v>1049525.89</v>
      </c>
      <c r="C24" s="2">
        <f>SUM(Research!C24+Instruction!C24+Extension!C24)</f>
        <v>2192269.92</v>
      </c>
      <c r="D24" s="2">
        <f>SUM(Research!D24+Instruction!D24+Extension!D24)</f>
        <v>1921943.4690000003</v>
      </c>
      <c r="E24" s="2">
        <f>SUM(Research!E24+Instruction!E24+Extension!E24)</f>
        <v>159665.76</v>
      </c>
      <c r="F24" s="2">
        <f>SUM(Research!F24+Instruction!F24+Extension!F24)</f>
        <v>1594642.77</v>
      </c>
      <c r="G24" s="2">
        <f>SUM(Research!G24+Instruction!G24+Extension!G24)</f>
        <v>3291937.7399999998</v>
      </c>
      <c r="H24" s="2">
        <f>SUM(Research!H24+Instruction!H24+Extension!H24)</f>
        <v>724723.79</v>
      </c>
      <c r="I24" s="2">
        <f>SUM(Research!I24+Instruction!I24+Extension!I24)</f>
        <v>21584.05</v>
      </c>
      <c r="J24" s="2">
        <f>SUM(Research!J24+Instruction!J24+Extension!J24)</f>
        <v>1197177.61</v>
      </c>
      <c r="K24" s="2">
        <f>SUM(Research!K24+Instruction!K24+Extension!K24)</f>
        <v>151148.24</v>
      </c>
      <c r="L24" s="2">
        <f>SUM(Research!L24+Instruction!L24+Extension!L24)</f>
        <v>236748.98</v>
      </c>
      <c r="M24" s="2">
        <f>SUM(Research!M24+Instruction!M24+Extension!M24)</f>
        <v>259.99</v>
      </c>
      <c r="O24" s="7">
        <f>SUM(B24:N24)</f>
        <v>12541628.209000003</v>
      </c>
      <c r="P24" s="2">
        <v>12431331</v>
      </c>
      <c r="Q24" s="28"/>
    </row>
    <row r="25" spans="16:17" ht="11.25">
      <c r="P25" s="2"/>
      <c r="Q25" s="28"/>
    </row>
    <row r="26" spans="1:17" ht="11.25">
      <c r="A26" s="1" t="s">
        <v>24</v>
      </c>
      <c r="B26" s="2">
        <f aca="true" t="shared" si="4" ref="B26:P26">SUM(B27:B29)</f>
        <v>2346015.17</v>
      </c>
      <c r="C26" s="2">
        <f t="shared" si="4"/>
        <v>2885985.04</v>
      </c>
      <c r="D26" s="2">
        <f t="shared" si="4"/>
        <v>1010663.79</v>
      </c>
      <c r="E26" s="2">
        <f t="shared" si="4"/>
        <v>96549.89</v>
      </c>
      <c r="F26" s="2">
        <f t="shared" si="4"/>
        <v>632714.4400000001</v>
      </c>
      <c r="G26" s="2">
        <f t="shared" si="4"/>
        <v>1659706.81</v>
      </c>
      <c r="H26" s="2">
        <f t="shared" si="4"/>
        <v>1826883.82</v>
      </c>
      <c r="I26" s="2">
        <f t="shared" si="4"/>
        <v>3623.86</v>
      </c>
      <c r="J26" s="2">
        <f t="shared" si="4"/>
        <v>421671.05</v>
      </c>
      <c r="K26" s="2">
        <f t="shared" si="4"/>
        <v>238482.53</v>
      </c>
      <c r="L26" s="2">
        <f t="shared" si="4"/>
        <v>1969844.6099999999</v>
      </c>
      <c r="M26" s="2">
        <f t="shared" si="4"/>
        <v>0</v>
      </c>
      <c r="N26" s="2">
        <f t="shared" si="4"/>
        <v>0</v>
      </c>
      <c r="O26" s="2">
        <f t="shared" si="4"/>
        <v>13092141.010000002</v>
      </c>
      <c r="P26" s="2">
        <f t="shared" si="4"/>
        <v>14399157</v>
      </c>
      <c r="Q26" s="28"/>
    </row>
    <row r="27" spans="1:17" ht="11.25" outlineLevel="1">
      <c r="A27" s="2" t="s">
        <v>22</v>
      </c>
      <c r="B27" s="2">
        <f>SUM(Research!B27+Instruction!B27+Extension!B27)</f>
        <v>2271190.75</v>
      </c>
      <c r="C27" s="2">
        <f>SUM(Research!C27+Instruction!C27+Extension!C27)</f>
        <v>2875302.9</v>
      </c>
      <c r="D27" s="2">
        <f>SUM(Research!D27+Instruction!D27+Extension!D27)</f>
        <v>999882.5</v>
      </c>
      <c r="E27" s="2">
        <f>SUM(Research!E27+Instruction!E27+Extension!E27)</f>
        <v>96549.89</v>
      </c>
      <c r="F27" s="2">
        <f>SUM(Research!F27+Instruction!F27+Extension!F27)</f>
        <v>591120.5800000001</v>
      </c>
      <c r="G27" s="2">
        <f>SUM(Research!G27+Instruction!G27+Extension!G27)</f>
        <v>1636914.9100000001</v>
      </c>
      <c r="H27" s="2">
        <f>SUM(Research!H27+Instruction!H27+Extension!H27)</f>
        <v>1632269.25</v>
      </c>
      <c r="I27" s="2">
        <f>SUM(Research!I27+Instruction!I27+Extension!I27)</f>
        <v>3623.86</v>
      </c>
      <c r="J27" s="2">
        <f>SUM(Research!J27+Instruction!J27+Extension!J27)</f>
        <v>398603.89</v>
      </c>
      <c r="K27" s="2">
        <f>SUM(Research!K27+Instruction!K27+Extension!K27)</f>
        <v>191495</v>
      </c>
      <c r="L27" s="2">
        <f>SUM(Research!L27+Instruction!L27+Extension!L27)</f>
        <v>1968999.22</v>
      </c>
      <c r="M27" s="2">
        <f>SUM(Research!M27+Instruction!M27+Extension!M27)</f>
        <v>0</v>
      </c>
      <c r="O27" s="7">
        <f>SUM(B27:N27)</f>
        <v>12665952.750000002</v>
      </c>
      <c r="P27" s="2">
        <v>13772456</v>
      </c>
      <c r="Q27" s="28"/>
    </row>
    <row r="28" spans="1:17" ht="11.25" outlineLevel="1">
      <c r="A28" s="2" t="s">
        <v>46</v>
      </c>
      <c r="B28" s="2">
        <f>SUM(Research!B28+Instruction!B28+Extension!B28)</f>
        <v>2742.06</v>
      </c>
      <c r="C28" s="2">
        <f>SUM(Research!C28+Instruction!C28+Extension!C28)</f>
        <v>0</v>
      </c>
      <c r="D28" s="2">
        <f>SUM(Research!D28+Instruction!D28+Extension!D28)</f>
        <v>0</v>
      </c>
      <c r="E28" s="2">
        <f>SUM(Research!E28+Instruction!E28+Extension!E28)</f>
        <v>0</v>
      </c>
      <c r="F28" s="2">
        <f>SUM(Research!F28+Instruction!F28+Extension!F28)</f>
        <v>0</v>
      </c>
      <c r="G28" s="2">
        <f>SUM(Research!G28+Instruction!G28+Extension!G28)</f>
        <v>0</v>
      </c>
      <c r="H28" s="2">
        <f>SUM(Research!H28+Instruction!H28+Extension!H28)</f>
        <v>0</v>
      </c>
      <c r="I28" s="2">
        <f>SUM(Research!I28+Instruction!I28+Extension!I28)</f>
        <v>0</v>
      </c>
      <c r="J28" s="2">
        <f>SUM(Research!J28+Instruction!J28+Extension!J28)</f>
        <v>0</v>
      </c>
      <c r="K28" s="2">
        <f>SUM(Research!K28+Instruction!K28+Extension!K28)</f>
        <v>0</v>
      </c>
      <c r="L28" s="2">
        <f>SUM(Research!L28+Instruction!L28+Extension!L28)</f>
        <v>0</v>
      </c>
      <c r="M28" s="2">
        <f>SUM(Research!M28+Instruction!M28+Extension!M28)</f>
        <v>0</v>
      </c>
      <c r="O28" s="7">
        <f>SUM(B28:N28)</f>
        <v>2742.06</v>
      </c>
      <c r="P28" s="2">
        <v>76543</v>
      </c>
      <c r="Q28" s="28"/>
    </row>
    <row r="29" spans="1:17" ht="11.25" outlineLevel="1">
      <c r="A29" s="15" t="s">
        <v>38</v>
      </c>
      <c r="B29" s="2">
        <f>SUM(Research!B29+Instruction!B29+Extension!B29)</f>
        <v>72082.36</v>
      </c>
      <c r="C29" s="2">
        <f>SUM(Research!C29+Instruction!C29+Extension!C29)</f>
        <v>10682.14</v>
      </c>
      <c r="D29" s="2">
        <f>SUM(Research!D29+Instruction!D29+Extension!D29)</f>
        <v>10781.29</v>
      </c>
      <c r="E29" s="2">
        <f>SUM(Research!E29+Instruction!E29+Extension!E29)</f>
        <v>0</v>
      </c>
      <c r="F29" s="2">
        <f>SUM(Research!F29+Instruction!F29+Extension!F29)</f>
        <v>41593.86</v>
      </c>
      <c r="G29" s="2">
        <f>SUM(Research!G29+Instruction!G29+Extension!G29)</f>
        <v>22791.9</v>
      </c>
      <c r="H29" s="2">
        <f>SUM(Research!H29+Instruction!H29+Extension!H29)</f>
        <v>194614.57</v>
      </c>
      <c r="I29" s="2">
        <f>SUM(Research!I29+Instruction!I29+Extension!I29)</f>
        <v>0</v>
      </c>
      <c r="J29" s="2">
        <f>SUM(Research!J29+Instruction!J29+Extension!J29)</f>
        <v>23067.16</v>
      </c>
      <c r="K29" s="2">
        <f>SUM(Research!K29+Instruction!K29+Extension!K29)</f>
        <v>46987.53</v>
      </c>
      <c r="L29" s="2">
        <f>SUM(Research!L29+Instruction!L29+Extension!L29)</f>
        <v>845.39</v>
      </c>
      <c r="M29" s="2">
        <f>SUM(Research!M29+Instruction!M29+Extension!M29)</f>
        <v>0</v>
      </c>
      <c r="O29" s="7">
        <f>SUM(B29:N29)</f>
        <v>423446.19999999995</v>
      </c>
      <c r="P29" s="2">
        <v>550158</v>
      </c>
      <c r="Q29" s="28"/>
    </row>
    <row r="30" spans="15:17" ht="11.25">
      <c r="O30" s="7"/>
      <c r="P30" s="2"/>
      <c r="Q30" s="28"/>
    </row>
    <row r="31" spans="1:17" ht="11.25">
      <c r="A31" s="1" t="s">
        <v>27</v>
      </c>
      <c r="B31" s="2">
        <f>SUM(Research!B31+Instruction!B31+Extension!B31)</f>
        <v>-69945.53</v>
      </c>
      <c r="C31" s="2">
        <f>SUM(Research!C31+Instruction!C31+Extension!C31)</f>
        <v>12804376.45</v>
      </c>
      <c r="D31" s="2">
        <f>SUM(Research!D31+Instruction!D31+Extension!D31)</f>
        <v>0</v>
      </c>
      <c r="E31" s="2">
        <f>SUM(Research!E31+Instruction!E31+Extension!E31)</f>
        <v>0</v>
      </c>
      <c r="F31" s="2">
        <f>SUM(Research!F31+Instruction!F31+Extension!F31)</f>
        <v>0</v>
      </c>
      <c r="G31" s="2">
        <f>SUM(Research!G31+Instruction!G31+Extension!G31)</f>
        <v>0</v>
      </c>
      <c r="H31" s="2">
        <f>SUM(Research!H31+Instruction!H31+Extension!H31)</f>
        <v>0</v>
      </c>
      <c r="I31" s="2">
        <f>SUM(Research!I31+Instruction!I31+Extension!I31)</f>
        <v>0</v>
      </c>
      <c r="J31" s="2">
        <f>SUM(Research!J31+Instruction!J31+Extension!J31)</f>
        <v>0</v>
      </c>
      <c r="K31" s="2">
        <f>SUM(Research!K31+Instruction!K31+Extension!K31)</f>
        <v>0</v>
      </c>
      <c r="L31" s="2">
        <f>SUM(Research!L31+Instruction!L31+Extension!L31)</f>
        <v>0</v>
      </c>
      <c r="M31" s="2">
        <f>SUM(Research!M31+Instruction!M31+Extension!M31)</f>
        <v>0</v>
      </c>
      <c r="O31" s="7">
        <f>SUM(B31:N31)</f>
        <v>12734430.92</v>
      </c>
      <c r="P31" s="2">
        <v>10346819</v>
      </c>
      <c r="Q31" s="28"/>
    </row>
    <row r="32" spans="2:17" ht="11.25">
      <c r="B32" s="9"/>
      <c r="C32" s="9"/>
      <c r="D32" s="9"/>
      <c r="E32" s="9"/>
      <c r="F32" s="9"/>
      <c r="G32" s="9"/>
      <c r="H32" s="9"/>
      <c r="I32" s="9"/>
      <c r="J32" s="9"/>
      <c r="K32" s="9"/>
      <c r="L32" s="9"/>
      <c r="M32" s="9"/>
      <c r="N32" s="9"/>
      <c r="O32" s="9"/>
      <c r="P32" s="9"/>
      <c r="Q32" s="28"/>
    </row>
    <row r="33" spans="1:17" ht="12" thickBot="1">
      <c r="A33" s="8" t="s">
        <v>7</v>
      </c>
      <c r="B33" s="10">
        <f aca="true" t="shared" si="5" ref="B33:P33">+B31+B26+B21+B16+B8</f>
        <v>27287413.5</v>
      </c>
      <c r="C33" s="10">
        <f t="shared" si="5"/>
        <v>99653650.38000001</v>
      </c>
      <c r="D33" s="10">
        <f t="shared" si="5"/>
        <v>27495708.968999997</v>
      </c>
      <c r="E33" s="10">
        <f t="shared" si="5"/>
        <v>4335025.609999999</v>
      </c>
      <c r="F33" s="10">
        <f t="shared" si="5"/>
        <v>9746329.78</v>
      </c>
      <c r="G33" s="10">
        <f t="shared" si="5"/>
        <v>33410931.819999997</v>
      </c>
      <c r="H33" s="10">
        <f t="shared" si="5"/>
        <v>7628483.32</v>
      </c>
      <c r="I33" s="10">
        <f t="shared" si="5"/>
        <v>2413414.0200000005</v>
      </c>
      <c r="J33" s="10">
        <f t="shared" si="5"/>
        <v>17696665.240000002</v>
      </c>
      <c r="K33" s="10">
        <f t="shared" si="5"/>
        <v>6202868.850000001</v>
      </c>
      <c r="L33" s="10">
        <f t="shared" si="5"/>
        <v>12681774.04</v>
      </c>
      <c r="M33" s="10">
        <f t="shared" si="5"/>
        <v>429687.77</v>
      </c>
      <c r="N33" s="10">
        <f t="shared" si="5"/>
        <v>31158170.67</v>
      </c>
      <c r="O33" s="10">
        <f t="shared" si="5"/>
        <v>280140123.96900004</v>
      </c>
      <c r="P33" s="10">
        <f t="shared" si="5"/>
        <v>241983069</v>
      </c>
      <c r="Q33" s="28"/>
    </row>
    <row r="34" ht="12" thickTop="1"/>
    <row r="35" ht="11.25">
      <c r="A35" s="8"/>
    </row>
    <row r="37" spans="2:9" ht="11.25">
      <c r="B37" s="27"/>
      <c r="C37" s="12"/>
      <c r="D37" s="12"/>
      <c r="E37" s="12"/>
      <c r="F37" s="12"/>
      <c r="G37" s="12"/>
      <c r="H37" s="12"/>
      <c r="I37" s="12"/>
    </row>
    <row r="38" spans="2:9" ht="11.25">
      <c r="B38" s="12"/>
      <c r="C38" s="12"/>
      <c r="D38" s="12"/>
      <c r="E38" s="12"/>
      <c r="F38" s="12"/>
      <c r="G38" s="12"/>
      <c r="H38" s="12"/>
      <c r="I38" s="12"/>
    </row>
    <row r="39" spans="2:9" ht="11.25">
      <c r="B39" s="12"/>
      <c r="C39" s="12"/>
      <c r="D39" s="12"/>
      <c r="E39" s="12"/>
      <c r="F39" s="12"/>
      <c r="G39" s="12"/>
      <c r="H39" s="12"/>
      <c r="I39" s="12"/>
    </row>
    <row r="40" spans="2:9" ht="11.25">
      <c r="B40" s="12"/>
      <c r="C40" s="12"/>
      <c r="D40" s="12"/>
      <c r="E40" s="12"/>
      <c r="F40" s="12"/>
      <c r="G40" s="12"/>
      <c r="H40" s="12"/>
      <c r="I40" s="12"/>
    </row>
    <row r="41" spans="2:9" ht="11.25">
      <c r="B41" s="12"/>
      <c r="C41" s="12"/>
      <c r="D41" s="12"/>
      <c r="E41" s="12"/>
      <c r="F41" s="12"/>
      <c r="G41" s="12"/>
      <c r="H41" s="12"/>
      <c r="I41" s="12"/>
    </row>
    <row r="43" spans="11:15" ht="11.25">
      <c r="K43" s="12"/>
      <c r="L43" s="12"/>
      <c r="M43" s="12"/>
      <c r="N43" s="12"/>
      <c r="O43" s="12"/>
    </row>
    <row r="44" spans="11:15" ht="11.25">
      <c r="K44" s="12"/>
      <c r="L44" s="12"/>
      <c r="M44" s="12"/>
      <c r="N44" s="12"/>
      <c r="O44" s="12"/>
    </row>
    <row r="45" spans="11:15" ht="11.25">
      <c r="K45" s="8" t="s">
        <v>49</v>
      </c>
      <c r="N45" s="28" t="s">
        <v>50</v>
      </c>
      <c r="O45" s="28" t="s">
        <v>51</v>
      </c>
    </row>
    <row r="46" spans="11:15" ht="11.25">
      <c r="K46" s="8"/>
      <c r="N46" s="28" t="s">
        <v>52</v>
      </c>
      <c r="O46" s="28" t="s">
        <v>53</v>
      </c>
    </row>
    <row r="48" spans="11:15" ht="11.25">
      <c r="K48" s="2" t="s">
        <v>54</v>
      </c>
      <c r="L48" s="12"/>
      <c r="M48" s="12"/>
      <c r="N48" s="2">
        <f>Research!O48+Extension!N48</f>
        <v>126824660.07000002</v>
      </c>
      <c r="O48" s="2">
        <f>Research!P48+Extension!O48</f>
        <v>126842507.69999999</v>
      </c>
    </row>
    <row r="49" spans="11:15" ht="11.25">
      <c r="K49" s="2" t="s">
        <v>55</v>
      </c>
      <c r="L49" s="12"/>
      <c r="M49" s="12"/>
      <c r="N49" s="2">
        <f>Research!O49+Instruction!N49+Extension!N49</f>
        <v>124385939.4</v>
      </c>
      <c r="O49" s="2">
        <f>Research!P49+Instruction!O49+Extension!O49</f>
        <v>124385940.29</v>
      </c>
    </row>
    <row r="50" spans="12:13" ht="11.25">
      <c r="L50" s="12"/>
      <c r="M50" s="12"/>
    </row>
    <row r="51" spans="11:15" ht="12" thickBot="1">
      <c r="K51" s="2" t="s">
        <v>56</v>
      </c>
      <c r="L51" s="12"/>
      <c r="M51" s="12"/>
      <c r="N51" s="10">
        <f>+N48+N49</f>
        <v>251210599.47000003</v>
      </c>
      <c r="O51" s="10">
        <f>+O48+O49</f>
        <v>251228447.99</v>
      </c>
    </row>
    <row r="52" spans="12:13" ht="12" thickTop="1">
      <c r="L52" s="12"/>
      <c r="M52" s="12"/>
    </row>
    <row r="53" spans="1:15" ht="11.25">
      <c r="A53" s="11"/>
      <c r="B53" s="12"/>
      <c r="C53" s="12"/>
      <c r="D53" s="12"/>
      <c r="E53" s="12"/>
      <c r="F53" s="12"/>
      <c r="G53" s="12"/>
      <c r="H53" s="12"/>
      <c r="I53" s="12"/>
      <c r="J53" s="12"/>
      <c r="K53" s="15" t="s">
        <v>35</v>
      </c>
      <c r="N53" s="2">
        <f>O12</f>
        <v>134471.47</v>
      </c>
      <c r="O53" s="2">
        <f>O12</f>
        <v>134471.47</v>
      </c>
    </row>
    <row r="54" spans="1:15" ht="11.25">
      <c r="A54" s="11"/>
      <c r="B54" s="12"/>
      <c r="C54" s="12"/>
      <c r="D54" s="12"/>
      <c r="E54" s="12"/>
      <c r="F54" s="12"/>
      <c r="G54" s="12"/>
      <c r="H54" s="12"/>
      <c r="I54" s="12"/>
      <c r="J54" s="12"/>
      <c r="K54" s="15" t="s">
        <v>36</v>
      </c>
      <c r="N54" s="2">
        <f>O13</f>
        <v>11900089.600000001</v>
      </c>
      <c r="O54" s="2">
        <f>O13</f>
        <v>11900089.600000001</v>
      </c>
    </row>
    <row r="55" spans="2:15" ht="11.25">
      <c r="B55" s="12"/>
      <c r="C55" s="12"/>
      <c r="D55" s="12"/>
      <c r="E55" s="12"/>
      <c r="F55" s="12"/>
      <c r="G55" s="12"/>
      <c r="H55" s="12"/>
      <c r="I55" s="12"/>
      <c r="J55" s="12"/>
      <c r="K55" s="15" t="s">
        <v>38</v>
      </c>
      <c r="N55" s="2">
        <f>O19+O24+O29</f>
        <v>13919423.859000001</v>
      </c>
      <c r="O55" s="2">
        <f>O19+O24+O29</f>
        <v>13919423.859000001</v>
      </c>
    </row>
    <row r="56" spans="2:15" ht="11.25">
      <c r="B56" s="12"/>
      <c r="C56" s="12"/>
      <c r="D56" s="12"/>
      <c r="E56" s="12"/>
      <c r="F56" s="12"/>
      <c r="G56" s="12"/>
      <c r="H56" s="12"/>
      <c r="I56" s="12"/>
      <c r="J56" s="12"/>
      <c r="K56" s="15" t="s">
        <v>37</v>
      </c>
      <c r="L56" s="12"/>
      <c r="M56" s="12"/>
      <c r="N56" s="2">
        <f>O14</f>
        <v>1382851.3</v>
      </c>
      <c r="O56" s="2">
        <f>O14</f>
        <v>1382851.3</v>
      </c>
    </row>
    <row r="57" spans="2:15" ht="11.25">
      <c r="B57" s="12"/>
      <c r="C57" s="12"/>
      <c r="D57" s="12"/>
      <c r="E57" s="12"/>
      <c r="F57" s="12"/>
      <c r="G57" s="12"/>
      <c r="H57" s="12"/>
      <c r="I57" s="12"/>
      <c r="J57" s="12"/>
      <c r="K57" s="2" t="s">
        <v>57</v>
      </c>
      <c r="N57" s="2">
        <f>Instruction!N57</f>
        <v>1137961.33</v>
      </c>
      <c r="O57" s="2">
        <f>Instruction!N57</f>
        <v>1137961.33</v>
      </c>
    </row>
    <row r="58" spans="2:15" ht="11.25">
      <c r="B58" s="12"/>
      <c r="C58" s="12"/>
      <c r="D58" s="12"/>
      <c r="E58" s="12"/>
      <c r="F58" s="12"/>
      <c r="G58" s="12"/>
      <c r="H58" s="12"/>
      <c r="I58" s="12"/>
      <c r="J58" s="12"/>
      <c r="K58" s="2" t="s">
        <v>58</v>
      </c>
      <c r="L58" s="12"/>
      <c r="M58" s="12"/>
      <c r="N58" s="2">
        <f>Research!O57+Instruction!N58+Extension!N57</f>
        <v>454726.94000000006</v>
      </c>
      <c r="O58" s="2">
        <f>Research!P57+Instruction!O58+Extension!O57</f>
        <v>454726.94000000006</v>
      </c>
    </row>
    <row r="59" spans="2:15" ht="11.25">
      <c r="B59" s="12"/>
      <c r="C59" s="12"/>
      <c r="D59" s="12"/>
      <c r="E59" s="12"/>
      <c r="F59" s="12"/>
      <c r="G59" s="12"/>
      <c r="H59" s="12"/>
      <c r="I59" s="12"/>
      <c r="J59" s="12"/>
      <c r="K59" s="2" t="s">
        <v>59</v>
      </c>
      <c r="L59" s="12"/>
      <c r="M59" s="12"/>
      <c r="O59" s="2">
        <f>Research!P58+Instruction!O59+Extension!O58</f>
        <v>0</v>
      </c>
    </row>
    <row r="60" spans="11:15" ht="11.25">
      <c r="K60" s="2" t="s">
        <v>60</v>
      </c>
      <c r="L60" s="12"/>
      <c r="M60" s="12"/>
      <c r="O60" s="2">
        <f>Research!P59</f>
        <v>0</v>
      </c>
    </row>
    <row r="61" spans="11:15" ht="11.25">
      <c r="K61" s="2" t="s">
        <v>72</v>
      </c>
      <c r="L61" s="12"/>
      <c r="M61" s="12"/>
      <c r="O61" s="2">
        <f>Research!P60</f>
        <v>0</v>
      </c>
    </row>
    <row r="62" spans="11:15" ht="11.25">
      <c r="K62" s="2" t="s">
        <v>73</v>
      </c>
      <c r="L62" s="12"/>
      <c r="M62" s="12"/>
      <c r="O62" s="2">
        <f>Research!P61</f>
        <v>-17847</v>
      </c>
    </row>
    <row r="63" spans="11:15" ht="11.25">
      <c r="K63" s="2" t="s">
        <v>61</v>
      </c>
      <c r="L63" s="12"/>
      <c r="M63" s="12"/>
      <c r="O63" s="2">
        <f>Research!P62+Extension!O59</f>
        <v>0</v>
      </c>
    </row>
    <row r="64" spans="12:13" ht="11.25">
      <c r="L64" s="12"/>
      <c r="M64" s="12"/>
    </row>
    <row r="65" spans="11:15" ht="12" thickBot="1">
      <c r="K65" s="2" t="s">
        <v>62</v>
      </c>
      <c r="L65" s="12"/>
      <c r="M65" s="12"/>
      <c r="N65" s="10">
        <f>SUM(N51:N63)</f>
        <v>280140123.96900004</v>
      </c>
      <c r="O65" s="10">
        <f>SUM(O51:O63)</f>
        <v>280140125.489</v>
      </c>
    </row>
    <row r="66" spans="11:13" ht="12" thickTop="1">
      <c r="K66" s="12"/>
      <c r="L66" s="12"/>
      <c r="M66" s="12"/>
    </row>
    <row r="67" spans="11:15" ht="11.25">
      <c r="K67" s="12"/>
      <c r="L67" s="12"/>
      <c r="M67" s="12"/>
      <c r="N67" s="2">
        <f>+O33-N65</f>
        <v>0</v>
      </c>
      <c r="O67" s="2">
        <f>N65-O65</f>
        <v>-1.5199999809265137</v>
      </c>
    </row>
    <row r="68" spans="11:15" ht="11.25">
      <c r="K68" s="12"/>
      <c r="L68" s="12"/>
      <c r="M68" s="12"/>
      <c r="N68" s="12"/>
      <c r="O68" s="12"/>
    </row>
    <row r="69" spans="11:15" ht="11.25">
      <c r="K69" s="12"/>
      <c r="L69" s="12"/>
      <c r="M69" s="12"/>
      <c r="N69" s="12"/>
      <c r="O69" s="12"/>
    </row>
  </sheetData>
  <sheetProtection/>
  <printOptions horizontalCentered="1" verticalCentered="1"/>
  <pageMargins left="0" right="0" top="0.5" bottom="0.5" header="0.25" footer="0.25"/>
  <pageSetup fitToHeight="1" fitToWidth="1" horizontalDpi="300" verticalDpi="300" orientation="landscape" scale="76" r:id="rId1"/>
  <headerFooter alignWithMargins="0">
    <oddHeader>&amp;L10-29-07&amp;C&amp;F</oddHead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Q65"/>
  <sheetViews>
    <sheetView zoomScalePageLayoutView="0" workbookViewId="0" topLeftCell="A1">
      <pane xSplit="1" ySplit="6" topLeftCell="F43" activePane="bottomRight" state="frozen"/>
      <selection pane="topLeft" activeCell="O2" sqref="O2"/>
      <selection pane="topRight" activeCell="O2" sqref="O2"/>
      <selection pane="bottomLeft" activeCell="O2" sqref="O2"/>
      <selection pane="bottomRight" activeCell="O71" sqref="O71"/>
    </sheetView>
  </sheetViews>
  <sheetFormatPr defaultColWidth="9.140625" defaultRowHeight="12.75" outlineLevelRow="1"/>
  <cols>
    <col min="1" max="1" width="19.00390625" style="15" customWidth="1"/>
    <col min="2" max="2" width="10.57421875" style="15" customWidth="1"/>
    <col min="3" max="3" width="10.8515625" style="15" customWidth="1"/>
    <col min="4" max="4" width="10.57421875" style="15" customWidth="1"/>
    <col min="5" max="5" width="10.28125" style="15" customWidth="1"/>
    <col min="6" max="6" width="9.7109375" style="15" customWidth="1"/>
    <col min="7" max="7" width="10.57421875" style="15" customWidth="1"/>
    <col min="8" max="9" width="9.140625" style="15" customWidth="1"/>
    <col min="10" max="11" width="10.140625" style="15" customWidth="1"/>
    <col min="12" max="14" width="9.140625" style="15" customWidth="1"/>
    <col min="15" max="15" width="10.421875" style="15" bestFit="1" customWidth="1"/>
    <col min="16" max="16" width="9.57421875" style="15" bestFit="1" customWidth="1"/>
    <col min="17" max="16384" width="9.140625" style="15" customWidth="1"/>
  </cols>
  <sheetData>
    <row r="1" spans="1:16" ht="11.25">
      <c r="A1" s="8" t="s">
        <v>92</v>
      </c>
      <c r="H1" s="13"/>
      <c r="P1" s="33" t="s">
        <v>43</v>
      </c>
    </row>
    <row r="2" ht="11.25">
      <c r="A2" s="14" t="s">
        <v>33</v>
      </c>
    </row>
    <row r="3" ht="11.25">
      <c r="P3" s="29" t="s">
        <v>34</v>
      </c>
    </row>
    <row r="4" spans="1:16" ht="11.25">
      <c r="A4" s="14" t="s">
        <v>40</v>
      </c>
      <c r="B4" s="16"/>
      <c r="C4" s="16"/>
      <c r="D4" s="16"/>
      <c r="E4" s="16"/>
      <c r="F4" s="16"/>
      <c r="G4" s="16"/>
      <c r="H4" s="16" t="s">
        <v>1</v>
      </c>
      <c r="I4" s="16"/>
      <c r="J4" s="16"/>
      <c r="K4" s="16"/>
      <c r="L4" s="16" t="s">
        <v>29</v>
      </c>
      <c r="M4" s="16"/>
      <c r="N4" s="16"/>
      <c r="O4" s="53" t="s">
        <v>93</v>
      </c>
      <c r="P4" s="53" t="s">
        <v>91</v>
      </c>
    </row>
    <row r="5" spans="2:16" ht="11.25">
      <c r="B5" s="16" t="s">
        <v>2</v>
      </c>
      <c r="C5" s="16"/>
      <c r="D5" s="16" t="s">
        <v>3</v>
      </c>
      <c r="E5" s="16"/>
      <c r="F5" s="16"/>
      <c r="G5" s="16"/>
      <c r="H5" s="16" t="s">
        <v>4</v>
      </c>
      <c r="I5" s="16"/>
      <c r="J5" s="16" t="s">
        <v>5</v>
      </c>
      <c r="K5" s="16" t="s">
        <v>6</v>
      </c>
      <c r="L5" s="16" t="s">
        <v>30</v>
      </c>
      <c r="M5" s="16"/>
      <c r="N5" s="16"/>
      <c r="O5" s="16" t="s">
        <v>48</v>
      </c>
      <c r="P5" s="16" t="s">
        <v>7</v>
      </c>
    </row>
    <row r="6" spans="2:16" ht="11.25">
      <c r="B6" s="17" t="s">
        <v>8</v>
      </c>
      <c r="C6" s="17" t="s">
        <v>9</v>
      </c>
      <c r="D6" s="17" t="s">
        <v>10</v>
      </c>
      <c r="E6" s="17" t="s">
        <v>11</v>
      </c>
      <c r="F6" s="17" t="s">
        <v>12</v>
      </c>
      <c r="G6" s="17" t="s">
        <v>13</v>
      </c>
      <c r="H6" s="17" t="s">
        <v>10</v>
      </c>
      <c r="I6" s="17" t="s">
        <v>14</v>
      </c>
      <c r="J6" s="17" t="s">
        <v>15</v>
      </c>
      <c r="K6" s="17" t="s">
        <v>16</v>
      </c>
      <c r="L6" s="17" t="s">
        <v>10</v>
      </c>
      <c r="M6" s="16" t="s">
        <v>26</v>
      </c>
      <c r="N6" s="54" t="s">
        <v>76</v>
      </c>
      <c r="O6" s="31" t="s">
        <v>8</v>
      </c>
      <c r="P6" s="17" t="s">
        <v>8</v>
      </c>
    </row>
    <row r="7" spans="1:15" s="19" customFormat="1" ht="11.25">
      <c r="A7" s="5" t="s">
        <v>17</v>
      </c>
      <c r="B7" s="18"/>
      <c r="C7" s="18"/>
      <c r="D7" s="18"/>
      <c r="E7" s="18"/>
      <c r="F7" s="18"/>
      <c r="G7" s="18"/>
      <c r="H7" s="18"/>
      <c r="I7" s="18"/>
      <c r="J7" s="18"/>
      <c r="K7" s="18"/>
      <c r="L7" s="18"/>
      <c r="M7" s="18"/>
      <c r="N7" s="18"/>
      <c r="O7" s="18"/>
    </row>
    <row r="8" spans="1:16" ht="11.25" customHeight="1">
      <c r="A8" s="8" t="s">
        <v>18</v>
      </c>
      <c r="B8" s="15">
        <f>SUM(B9:B14)-0.4</f>
        <v>6973253.510000001</v>
      </c>
      <c r="C8" s="15">
        <f>SUM(C9:C14)</f>
        <v>33763010.050000004</v>
      </c>
      <c r="D8" s="15">
        <f>SUM(D9:D14)</f>
        <v>15056769.69</v>
      </c>
      <c r="E8" s="15">
        <f aca="true" t="shared" si="0" ref="E8:K8">SUM(E9:E14)</f>
        <v>3396056.2800000003</v>
      </c>
      <c r="F8" s="15">
        <f>SUM(F9:F14)</f>
        <v>153254.32</v>
      </c>
      <c r="G8" s="15">
        <f>SUM(G9:G14)</f>
        <v>6253952.859999999</v>
      </c>
      <c r="H8" s="15">
        <f>ROUND(SUM(H9:H14),0)</f>
        <v>1047659</v>
      </c>
      <c r="I8" s="15">
        <f t="shared" si="0"/>
        <v>16544.68</v>
      </c>
      <c r="J8" s="15">
        <f>SUM(J9:J14)</f>
        <v>5678846.2</v>
      </c>
      <c r="K8" s="15">
        <f t="shared" si="0"/>
        <v>0</v>
      </c>
      <c r="L8" s="15">
        <f>ROUND(SUM(L9:L14),0)</f>
        <v>2410966</v>
      </c>
      <c r="M8" s="15">
        <f>ROUND(SUM(M9:M14),0)</f>
        <v>319076</v>
      </c>
      <c r="N8" s="15">
        <f>ROUND(SUM(N9:N14),0)</f>
        <v>0</v>
      </c>
      <c r="O8" s="15">
        <f>ROUND(SUM(O9:O14),0)</f>
        <v>75069390</v>
      </c>
      <c r="P8" s="15">
        <f>ROUND(SUM(P9:P14),0)</f>
        <v>70322006</v>
      </c>
    </row>
    <row r="9" spans="1:16" s="19" customFormat="1" ht="11.25" customHeight="1" outlineLevel="1">
      <c r="A9" s="19" t="s">
        <v>19</v>
      </c>
      <c r="B9" s="19">
        <v>6726335.29</v>
      </c>
      <c r="C9" s="19">
        <v>25871716.6</v>
      </c>
      <c r="D9" s="19">
        <v>13630120.79</v>
      </c>
      <c r="E9" s="19">
        <v>3341268.16</v>
      </c>
      <c r="F9" s="19">
        <v>134165.24</v>
      </c>
      <c r="G9" s="19">
        <v>4168381.44</v>
      </c>
      <c r="H9" s="19">
        <v>825010.46</v>
      </c>
      <c r="I9" s="19">
        <v>5003.39</v>
      </c>
      <c r="J9" s="19">
        <v>5060287.28</v>
      </c>
      <c r="L9" s="19">
        <v>2081796.23</v>
      </c>
      <c r="M9" s="19">
        <v>319076.4</v>
      </c>
      <c r="O9" s="19">
        <f aca="true" t="shared" si="1" ref="O9:O14">SUM(B9:N9)</f>
        <v>62163161.28</v>
      </c>
      <c r="P9" s="19">
        <v>56130587</v>
      </c>
    </row>
    <row r="10" spans="1:16" s="19" customFormat="1" ht="11.25" customHeight="1" outlineLevel="1">
      <c r="A10" s="19" t="s">
        <v>20</v>
      </c>
      <c r="B10" s="19">
        <v>-89.81</v>
      </c>
      <c r="C10" s="19">
        <v>296669.35</v>
      </c>
      <c r="D10" s="19">
        <v>520093.88</v>
      </c>
      <c r="G10" s="19">
        <v>627140.8</v>
      </c>
      <c r="J10" s="19">
        <v>233146.35</v>
      </c>
      <c r="L10" s="19">
        <v>170329.34</v>
      </c>
      <c r="O10" s="19">
        <f t="shared" si="1"/>
        <v>1847289.9100000001</v>
      </c>
      <c r="P10" s="19">
        <v>2005306</v>
      </c>
    </row>
    <row r="11" spans="1:16" ht="11.25" outlineLevel="1">
      <c r="A11" s="15" t="s">
        <v>21</v>
      </c>
      <c r="C11" s="19">
        <v>5015024.39</v>
      </c>
      <c r="O11" s="19">
        <f t="shared" si="1"/>
        <v>5015024.39</v>
      </c>
      <c r="P11" s="15">
        <v>5663170</v>
      </c>
    </row>
    <row r="12" spans="1:16" ht="11.25" outlineLevel="1">
      <c r="A12" s="15" t="s">
        <v>35</v>
      </c>
      <c r="C12" s="20">
        <v>4440.6</v>
      </c>
      <c r="D12" s="15">
        <v>6211.58</v>
      </c>
      <c r="G12" s="15">
        <v>70170.47</v>
      </c>
      <c r="H12" s="20"/>
      <c r="J12" s="20">
        <v>1715.41</v>
      </c>
      <c r="L12" s="15">
        <v>6293.7</v>
      </c>
      <c r="O12" s="19">
        <f t="shared" si="1"/>
        <v>88831.76</v>
      </c>
      <c r="P12" s="15">
        <v>142958</v>
      </c>
    </row>
    <row r="13" spans="1:16" ht="11.25" outlineLevel="1">
      <c r="A13" s="15" t="s">
        <v>36</v>
      </c>
      <c r="B13" s="15">
        <v>247046.15</v>
      </c>
      <c r="C13" s="15">
        <f>2449467.16+1090.82</f>
        <v>2450557.98</v>
      </c>
      <c r="D13" s="15">
        <v>681904.01</v>
      </c>
      <c r="E13" s="15">
        <v>54788.12</v>
      </c>
      <c r="F13" s="15">
        <v>19089.08</v>
      </c>
      <c r="G13" s="15">
        <f>864683.08+260177.93</f>
        <v>1124861.01</v>
      </c>
      <c r="H13" s="15">
        <v>222648.87</v>
      </c>
      <c r="I13" s="15">
        <v>11541.29</v>
      </c>
      <c r="J13" s="15">
        <v>285775.69</v>
      </c>
      <c r="L13" s="15">
        <v>110816.18</v>
      </c>
      <c r="O13" s="19">
        <f t="shared" si="1"/>
        <v>5209028.38</v>
      </c>
      <c r="P13" s="15">
        <v>5581771</v>
      </c>
    </row>
    <row r="14" spans="1:16" ht="11.25" outlineLevel="1">
      <c r="A14" s="15" t="s">
        <v>37</v>
      </c>
      <c r="B14" s="15">
        <v>-37.72</v>
      </c>
      <c r="C14" s="15">
        <v>124601.13</v>
      </c>
      <c r="D14" s="15">
        <v>218439.43</v>
      </c>
      <c r="G14" s="15">
        <v>263399.14</v>
      </c>
      <c r="J14" s="15">
        <v>97921.47</v>
      </c>
      <c r="L14" s="15">
        <v>41730.69</v>
      </c>
      <c r="O14" s="19">
        <f t="shared" si="1"/>
        <v>746054.1399999999</v>
      </c>
      <c r="P14" s="15">
        <v>798214</v>
      </c>
    </row>
    <row r="16" spans="1:16" ht="11.25">
      <c r="A16" s="14" t="s">
        <v>25</v>
      </c>
      <c r="B16" s="15">
        <f aca="true" t="shared" si="2" ref="B16:P16">SUM(B17:B19)</f>
        <v>69683.82</v>
      </c>
      <c r="C16" s="15">
        <f t="shared" si="2"/>
        <v>1395323.7399999998</v>
      </c>
      <c r="D16" s="15">
        <f t="shared" si="2"/>
        <v>1044778.86</v>
      </c>
      <c r="E16" s="15">
        <f t="shared" si="2"/>
        <v>23189.49</v>
      </c>
      <c r="F16" s="15">
        <f t="shared" si="2"/>
        <v>7467.15</v>
      </c>
      <c r="G16" s="15">
        <f t="shared" si="2"/>
        <v>1133910.3</v>
      </c>
      <c r="H16" s="15">
        <f t="shared" si="2"/>
        <v>173186.13999999998</v>
      </c>
      <c r="I16" s="15">
        <f t="shared" si="2"/>
        <v>0</v>
      </c>
      <c r="J16" s="15">
        <f t="shared" si="2"/>
        <v>556199.29</v>
      </c>
      <c r="K16" s="15">
        <f t="shared" si="2"/>
        <v>0</v>
      </c>
      <c r="L16" s="15">
        <f t="shared" si="2"/>
        <v>597822.4299999999</v>
      </c>
      <c r="M16" s="15">
        <f t="shared" si="2"/>
        <v>0</v>
      </c>
      <c r="N16" s="15">
        <f t="shared" si="2"/>
        <v>0</v>
      </c>
      <c r="O16" s="15">
        <f t="shared" si="2"/>
        <v>5001561.22</v>
      </c>
      <c r="P16" s="15">
        <f t="shared" si="2"/>
        <v>6063233</v>
      </c>
    </row>
    <row r="17" spans="1:17" ht="11.25" outlineLevel="1">
      <c r="A17" s="15" t="s">
        <v>22</v>
      </c>
      <c r="B17" s="15">
        <v>69683.82</v>
      </c>
      <c r="C17" s="15">
        <v>1260279.14</v>
      </c>
      <c r="D17" s="15">
        <v>924465.71</v>
      </c>
      <c r="E17" s="15">
        <v>15973.45</v>
      </c>
      <c r="F17" s="15">
        <v>7467.15</v>
      </c>
      <c r="G17" s="15">
        <v>929005.28</v>
      </c>
      <c r="H17" s="15">
        <v>161382.43</v>
      </c>
      <c r="J17" s="15">
        <v>432106.17</v>
      </c>
      <c r="L17" s="15">
        <v>543974.07</v>
      </c>
      <c r="O17" s="19">
        <f>SUM(B17:N17)</f>
        <v>4344337.22</v>
      </c>
      <c r="P17" s="15">
        <v>5103876</v>
      </c>
      <c r="Q17" s="15" t="s">
        <v>34</v>
      </c>
    </row>
    <row r="18" spans="1:16" ht="11.25" outlineLevel="1">
      <c r="A18" s="15" t="s">
        <v>47</v>
      </c>
      <c r="C18" s="15">
        <v>7223.64</v>
      </c>
      <c r="O18" s="19">
        <f>SUM(B18:N18)</f>
        <v>7223.64</v>
      </c>
      <c r="P18" s="15">
        <v>75470</v>
      </c>
    </row>
    <row r="19" spans="1:16" ht="11.25" outlineLevel="1">
      <c r="A19" s="15" t="s">
        <v>38</v>
      </c>
      <c r="C19" s="15">
        <f>123518.43+4302.53</f>
        <v>127820.95999999999</v>
      </c>
      <c r="D19" s="15">
        <f>120313.15</f>
        <v>120313.15</v>
      </c>
      <c r="E19" s="15">
        <f>4810.58+2405.46</f>
        <v>7216.04</v>
      </c>
      <c r="G19" s="15">
        <f>204905.02</f>
        <v>204905.02</v>
      </c>
      <c r="H19" s="15">
        <f>11803.71</f>
        <v>11803.71</v>
      </c>
      <c r="J19" s="15">
        <f>124093.12</f>
        <v>124093.12</v>
      </c>
      <c r="L19" s="15">
        <f>53848.36</f>
        <v>53848.36</v>
      </c>
      <c r="O19" s="19">
        <f>SUM(B19:N19)</f>
        <v>650000.36</v>
      </c>
      <c r="P19" s="15">
        <v>883887</v>
      </c>
    </row>
    <row r="20" ht="11.25">
      <c r="O20" s="19"/>
    </row>
    <row r="21" spans="1:16" ht="11.25">
      <c r="A21" s="14" t="s">
        <v>23</v>
      </c>
      <c r="B21" s="15">
        <f aca="true" t="shared" si="3" ref="B21:P21">SUM(B22:B24)</f>
        <v>4227515.33</v>
      </c>
      <c r="C21" s="15">
        <f t="shared" si="3"/>
        <v>12768185.99</v>
      </c>
      <c r="D21" s="15">
        <f t="shared" si="3"/>
        <v>9231595.89</v>
      </c>
      <c r="E21" s="15">
        <f t="shared" si="3"/>
        <v>535501.86</v>
      </c>
      <c r="F21" s="15">
        <f t="shared" si="3"/>
        <v>142642.84</v>
      </c>
      <c r="G21" s="15">
        <f t="shared" si="3"/>
        <v>17483315.79</v>
      </c>
      <c r="H21" s="15">
        <f t="shared" si="3"/>
        <v>990447.14</v>
      </c>
      <c r="I21" s="15">
        <f t="shared" si="3"/>
        <v>12281.27</v>
      </c>
      <c r="J21" s="15">
        <f t="shared" si="3"/>
        <v>4869404.600000001</v>
      </c>
      <c r="K21" s="15">
        <f t="shared" si="3"/>
        <v>0</v>
      </c>
      <c r="L21" s="15">
        <f t="shared" si="3"/>
        <v>82681.54000000001</v>
      </c>
      <c r="M21" s="15">
        <f t="shared" si="3"/>
        <v>0</v>
      </c>
      <c r="N21" s="15">
        <f t="shared" si="3"/>
        <v>31158170.67</v>
      </c>
      <c r="O21" s="15">
        <f t="shared" si="3"/>
        <v>81501742.92</v>
      </c>
      <c r="P21" s="15">
        <f t="shared" si="3"/>
        <v>49049154</v>
      </c>
    </row>
    <row r="22" spans="1:16" ht="11.25" outlineLevel="1">
      <c r="A22" s="15" t="s">
        <v>22</v>
      </c>
      <c r="B22" s="15">
        <v>2414649.36</v>
      </c>
      <c r="C22" s="15">
        <v>10829699.88</v>
      </c>
      <c r="D22" s="15">
        <v>7389126.4</v>
      </c>
      <c r="E22" s="15">
        <v>386863.98</v>
      </c>
      <c r="F22" s="15">
        <v>109755.94</v>
      </c>
      <c r="G22" s="15">
        <v>7860830.34</v>
      </c>
      <c r="H22" s="15">
        <v>818647.4</v>
      </c>
      <c r="I22" s="15">
        <v>11208.09</v>
      </c>
      <c r="J22" s="15">
        <f>3667880.22+7124.37</f>
        <v>3675004.5900000003</v>
      </c>
      <c r="L22" s="15">
        <v>69540.97</v>
      </c>
      <c r="N22" s="15">
        <v>31158170.67</v>
      </c>
      <c r="O22" s="19">
        <f>SUM(B22:N22)</f>
        <v>64723497.620000005</v>
      </c>
      <c r="P22" s="15">
        <v>31419963</v>
      </c>
    </row>
    <row r="23" spans="1:16" ht="11.25" outlineLevel="1">
      <c r="A23" s="15" t="s">
        <v>46</v>
      </c>
      <c r="B23" s="15">
        <v>1056916.99</v>
      </c>
      <c r="C23" s="15">
        <v>5437.84</v>
      </c>
      <c r="D23" s="15">
        <v>1701.5</v>
      </c>
      <c r="E23" s="15">
        <v>5727.28</v>
      </c>
      <c r="G23" s="15">
        <v>6622941.77</v>
      </c>
      <c r="J23" s="15">
        <v>7412.22</v>
      </c>
      <c r="O23" s="19">
        <f>SUM(B23:N23)</f>
        <v>7700137.6</v>
      </c>
      <c r="P23" s="15">
        <v>8497228</v>
      </c>
    </row>
    <row r="24" spans="1:16" ht="11.25" outlineLevel="1">
      <c r="A24" s="15" t="s">
        <v>38</v>
      </c>
      <c r="B24" s="15">
        <f>321113.49+434835.49</f>
        <v>755948.98</v>
      </c>
      <c r="C24" s="15">
        <f>1929925.41+3122.86</f>
        <v>1933048.27</v>
      </c>
      <c r="D24" s="15">
        <f>1840053.37+714.62</f>
        <v>1840767.9900000002</v>
      </c>
      <c r="E24" s="15">
        <f>142910.6</f>
        <v>142910.6</v>
      </c>
      <c r="F24" s="15">
        <f>32886.9</f>
        <v>32886.9</v>
      </c>
      <c r="G24" s="15">
        <f>1776315.28+1223228.4</f>
        <v>2999543.6799999997</v>
      </c>
      <c r="H24" s="15">
        <f>171799.74</f>
        <v>171799.74</v>
      </c>
      <c r="I24" s="15">
        <f>1073.18</f>
        <v>1073.18</v>
      </c>
      <c r="J24" s="15">
        <f>1178145.33+8842.46</f>
        <v>1186987.79</v>
      </c>
      <c r="L24" s="15">
        <f>13140.57</f>
        <v>13140.57</v>
      </c>
      <c r="O24" s="19">
        <f>SUM(B24:N24)</f>
        <v>9078107.7</v>
      </c>
      <c r="P24" s="15">
        <v>9131963</v>
      </c>
    </row>
    <row r="25" ht="11.25">
      <c r="P25" s="15" t="s">
        <v>34</v>
      </c>
    </row>
    <row r="26" spans="1:16" ht="11.25">
      <c r="A26" s="14" t="s">
        <v>24</v>
      </c>
      <c r="B26" s="15">
        <f aca="true" t="shared" si="4" ref="B26:P26">SUM(B27:B29)</f>
        <v>567330.3500000001</v>
      </c>
      <c r="C26" s="15">
        <f t="shared" si="4"/>
        <v>2147684.03</v>
      </c>
      <c r="D26" s="15">
        <f t="shared" si="4"/>
        <v>918510.81</v>
      </c>
      <c r="E26" s="15">
        <f t="shared" si="4"/>
        <v>82199.89</v>
      </c>
      <c r="F26" s="15">
        <f t="shared" si="4"/>
        <v>114496.27</v>
      </c>
      <c r="G26" s="15">
        <f t="shared" si="4"/>
        <v>796023.76</v>
      </c>
      <c r="H26" s="15">
        <f t="shared" si="4"/>
        <v>527833.71</v>
      </c>
      <c r="I26" s="15">
        <f t="shared" si="4"/>
        <v>-134.76999999999998</v>
      </c>
      <c r="J26" s="15">
        <f t="shared" si="4"/>
        <v>391795.20999999996</v>
      </c>
      <c r="K26" s="15">
        <f t="shared" si="4"/>
        <v>1606.78</v>
      </c>
      <c r="L26" s="15">
        <f t="shared" si="4"/>
        <v>98728.77</v>
      </c>
      <c r="M26" s="15">
        <f t="shared" si="4"/>
        <v>0</v>
      </c>
      <c r="N26" s="15">
        <f t="shared" si="4"/>
        <v>0</v>
      </c>
      <c r="O26" s="15">
        <f t="shared" si="4"/>
        <v>5646074.81</v>
      </c>
      <c r="P26" s="15">
        <f t="shared" si="4"/>
        <v>6761428</v>
      </c>
    </row>
    <row r="27" spans="1:16" ht="11.25" outlineLevel="1">
      <c r="A27" s="15" t="s">
        <v>22</v>
      </c>
      <c r="B27" s="15">
        <f>556423.25+5481.17</f>
        <v>561904.42</v>
      </c>
      <c r="C27" s="15">
        <f>2141869.23+1.88</f>
        <v>2141871.11</v>
      </c>
      <c r="D27" s="15">
        <v>907729.52</v>
      </c>
      <c r="E27" s="15">
        <v>82199.89</v>
      </c>
      <c r="F27" s="15">
        <v>101111.85</v>
      </c>
      <c r="G27" s="15">
        <v>793282.76</v>
      </c>
      <c r="H27" s="15">
        <v>459815.1</v>
      </c>
      <c r="I27" s="15">
        <f>-135.51+0.74</f>
        <v>-134.76999999999998</v>
      </c>
      <c r="J27" s="15">
        <f>368726.67+1.38</f>
        <v>368728.05</v>
      </c>
      <c r="K27" s="15">
        <v>1606.78</v>
      </c>
      <c r="L27" s="15">
        <f>97882.5+0.78</f>
        <v>97883.28</v>
      </c>
      <c r="O27" s="19">
        <f>SUM(B27:N27)</f>
        <v>5515997.99</v>
      </c>
      <c r="P27" s="15">
        <v>6539473</v>
      </c>
    </row>
    <row r="28" spans="1:16" ht="11.25" outlineLevel="1">
      <c r="A28" s="15" t="s">
        <v>46</v>
      </c>
      <c r="B28" s="15">
        <v>2742.06</v>
      </c>
      <c r="O28" s="19">
        <f>SUM(B28:N28)</f>
        <v>2742.06</v>
      </c>
      <c r="P28" s="15">
        <v>76543</v>
      </c>
    </row>
    <row r="29" spans="1:16" ht="11.25" outlineLevel="1">
      <c r="A29" s="15" t="s">
        <v>38</v>
      </c>
      <c r="B29" s="15">
        <f>873.86+1810.01</f>
        <v>2683.87</v>
      </c>
      <c r="C29" s="15">
        <f>5812.92</f>
        <v>5812.92</v>
      </c>
      <c r="D29" s="15">
        <f>10781.29</f>
        <v>10781.29</v>
      </c>
      <c r="F29" s="15">
        <f>13384.42</f>
        <v>13384.42</v>
      </c>
      <c r="G29" s="15">
        <f>2741</f>
        <v>2741</v>
      </c>
      <c r="H29" s="15">
        <f>68018.61</f>
        <v>68018.61</v>
      </c>
      <c r="J29" s="15">
        <f>23067.16</f>
        <v>23067.16</v>
      </c>
      <c r="L29" s="19">
        <f>845.49</f>
        <v>845.49</v>
      </c>
      <c r="O29" s="19">
        <f>SUM(B29:N29)</f>
        <v>127334.76000000001</v>
      </c>
      <c r="P29" s="15">
        <v>145412</v>
      </c>
    </row>
    <row r="31" spans="1:16" ht="11.25">
      <c r="A31" s="14" t="s">
        <v>27</v>
      </c>
      <c r="B31" s="15">
        <v>-69870.45</v>
      </c>
      <c r="C31" s="15">
        <v>4857798.45</v>
      </c>
      <c r="O31" s="19">
        <f>SUM(B31:N31)</f>
        <v>4787928</v>
      </c>
      <c r="P31" s="15">
        <v>4537312</v>
      </c>
    </row>
    <row r="32" spans="2:16" ht="11.25">
      <c r="B32" s="21"/>
      <c r="C32" s="21"/>
      <c r="D32" s="21"/>
      <c r="E32" s="21"/>
      <c r="F32" s="21"/>
      <c r="G32" s="21"/>
      <c r="H32" s="21"/>
      <c r="I32" s="21"/>
      <c r="J32" s="21"/>
      <c r="K32" s="21"/>
      <c r="L32" s="21"/>
      <c r="M32" s="21"/>
      <c r="N32" s="21"/>
      <c r="O32" s="21"/>
      <c r="P32" s="21"/>
    </row>
    <row r="33" spans="1:16" ht="12" thickBot="1">
      <c r="A33" s="8" t="s">
        <v>7</v>
      </c>
      <c r="B33" s="22">
        <f aca="true" t="shared" si="5" ref="B33:P33">+B31+B26+B21+B16+B8</f>
        <v>11767912.560000002</v>
      </c>
      <c r="C33" s="22">
        <f t="shared" si="5"/>
        <v>54932002.260000005</v>
      </c>
      <c r="D33" s="22">
        <f t="shared" si="5"/>
        <v>26251655.25</v>
      </c>
      <c r="E33" s="22">
        <f t="shared" si="5"/>
        <v>4036947.5200000005</v>
      </c>
      <c r="F33" s="22">
        <f t="shared" si="5"/>
        <v>417860.58</v>
      </c>
      <c r="G33" s="22">
        <f t="shared" si="5"/>
        <v>25667202.71</v>
      </c>
      <c r="H33" s="22">
        <f t="shared" si="5"/>
        <v>2739125.99</v>
      </c>
      <c r="I33" s="22">
        <f t="shared" si="5"/>
        <v>28691.18</v>
      </c>
      <c r="J33" s="22">
        <f t="shared" si="5"/>
        <v>11496245.3</v>
      </c>
      <c r="K33" s="22">
        <f t="shared" si="5"/>
        <v>1606.78</v>
      </c>
      <c r="L33" s="22">
        <f t="shared" si="5"/>
        <v>3190198.74</v>
      </c>
      <c r="M33" s="22">
        <f t="shared" si="5"/>
        <v>319076</v>
      </c>
      <c r="N33" s="22">
        <f t="shared" si="5"/>
        <v>31158170.67</v>
      </c>
      <c r="O33" s="22">
        <f t="shared" si="5"/>
        <v>172006696.95</v>
      </c>
      <c r="P33" s="22">
        <f t="shared" si="5"/>
        <v>136733133</v>
      </c>
    </row>
    <row r="34" ht="12" thickTop="1">
      <c r="F34" s="24" t="s">
        <v>34</v>
      </c>
    </row>
    <row r="35" spans="1:4" ht="11.25">
      <c r="A35" s="8"/>
      <c r="D35" s="25"/>
    </row>
    <row r="38" spans="2:10" ht="11.25">
      <c r="B38" s="23"/>
      <c r="C38" s="23"/>
      <c r="D38" s="23"/>
      <c r="E38" s="23"/>
      <c r="F38" s="23"/>
      <c r="G38" s="23"/>
      <c r="H38" s="23"/>
      <c r="I38" s="23"/>
      <c r="J38" s="23"/>
    </row>
    <row r="39" spans="2:10" ht="11.25">
      <c r="B39" s="27"/>
      <c r="C39" s="27"/>
      <c r="D39" s="12"/>
      <c r="E39" s="23"/>
      <c r="F39" s="23"/>
      <c r="G39" s="23"/>
      <c r="H39" s="23"/>
      <c r="I39" s="23" t="s">
        <v>34</v>
      </c>
      <c r="J39" s="23"/>
    </row>
    <row r="40" spans="2:10" ht="11.25">
      <c r="B40" s="23"/>
      <c r="C40" s="23"/>
      <c r="D40" s="23"/>
      <c r="E40" s="23"/>
      <c r="F40" s="23"/>
      <c r="G40" s="23"/>
      <c r="H40" s="23"/>
      <c r="I40" s="23"/>
      <c r="J40" s="23"/>
    </row>
    <row r="41" spans="2:10" ht="11.25">
      <c r="B41" s="23"/>
      <c r="C41" s="23"/>
      <c r="D41" s="23"/>
      <c r="E41" s="23"/>
      <c r="F41" s="23"/>
      <c r="G41" s="23"/>
      <c r="H41" s="23"/>
      <c r="I41" s="23"/>
      <c r="J41" s="23"/>
    </row>
    <row r="42" spans="2:10" ht="11.25">
      <c r="B42" s="23"/>
      <c r="C42" s="23"/>
      <c r="D42" s="23"/>
      <c r="E42" s="23"/>
      <c r="F42" s="23"/>
      <c r="G42" s="23"/>
      <c r="H42" s="23"/>
      <c r="I42" s="23"/>
      <c r="J42" s="23"/>
    </row>
    <row r="43" spans="12:16" ht="11.25">
      <c r="L43" s="23"/>
      <c r="M43" s="23"/>
      <c r="N43" s="23"/>
      <c r="O43" s="23"/>
      <c r="P43" s="23"/>
    </row>
    <row r="44" spans="12:16" ht="11.25">
      <c r="L44" s="23"/>
      <c r="M44" s="23"/>
      <c r="N44" s="23"/>
      <c r="O44" s="23"/>
      <c r="P44" s="23"/>
    </row>
    <row r="45" spans="11:16" ht="11.25">
      <c r="K45" s="8" t="s">
        <v>63</v>
      </c>
      <c r="O45" s="28" t="s">
        <v>50</v>
      </c>
      <c r="P45" s="28" t="s">
        <v>51</v>
      </c>
    </row>
    <row r="46" spans="11:16" ht="11.25">
      <c r="K46" s="8"/>
      <c r="L46" s="2"/>
      <c r="M46" s="2"/>
      <c r="N46" s="2"/>
      <c r="O46" s="28" t="s">
        <v>52</v>
      </c>
      <c r="P46" s="28" t="s">
        <v>53</v>
      </c>
    </row>
    <row r="47" spans="11:14" ht="11.25">
      <c r="K47" s="2"/>
      <c r="L47" s="2"/>
      <c r="M47" s="2"/>
      <c r="N47" s="2"/>
    </row>
    <row r="48" spans="11:16" ht="11.25">
      <c r="K48" s="2" t="s">
        <v>64</v>
      </c>
      <c r="L48" s="12"/>
      <c r="M48" s="12"/>
      <c r="N48" s="12"/>
      <c r="O48" s="19">
        <f>O9+O10+O11+O31-O57</f>
        <v>73586257.09</v>
      </c>
      <c r="P48" s="19">
        <v>73604104.72</v>
      </c>
    </row>
    <row r="49" spans="11:16" ht="11.25">
      <c r="K49" s="2" t="s">
        <v>65</v>
      </c>
      <c r="L49" s="12"/>
      <c r="M49" s="12"/>
      <c r="N49" s="12"/>
      <c r="O49" s="36">
        <f>O17+O18+O22+O23+O27+O28</f>
        <v>82293936.13</v>
      </c>
      <c r="P49" s="21">
        <f>51135765.3+N33</f>
        <v>82293935.97</v>
      </c>
    </row>
    <row r="50" spans="11:14" ht="11.25">
      <c r="K50" s="2"/>
      <c r="L50" s="12"/>
      <c r="M50" s="12"/>
      <c r="N50" s="12"/>
    </row>
    <row r="51" spans="11:16" ht="12" thickBot="1">
      <c r="K51" s="2" t="s">
        <v>66</v>
      </c>
      <c r="L51" s="12"/>
      <c r="M51" s="12"/>
      <c r="N51" s="12"/>
      <c r="O51" s="22">
        <f>+O48+O49</f>
        <v>155880193.22</v>
      </c>
      <c r="P51" s="22">
        <f>+P48+P49</f>
        <v>155898040.69</v>
      </c>
    </row>
    <row r="52" spans="11:14" ht="12" thickTop="1">
      <c r="K52" s="2"/>
      <c r="L52" s="12"/>
      <c r="M52" s="12"/>
      <c r="N52" s="12"/>
    </row>
    <row r="53" spans="11:16" ht="11.25">
      <c r="K53" s="15" t="s">
        <v>35</v>
      </c>
      <c r="L53" s="2"/>
      <c r="M53" s="2"/>
      <c r="N53" s="2"/>
      <c r="O53" s="19">
        <f>O12</f>
        <v>88831.76</v>
      </c>
      <c r="P53" s="15">
        <f>O12</f>
        <v>88831.76</v>
      </c>
    </row>
    <row r="54" spans="11:16" ht="11.25">
      <c r="K54" s="15" t="s">
        <v>36</v>
      </c>
      <c r="L54" s="2"/>
      <c r="M54" s="2"/>
      <c r="N54" s="2"/>
      <c r="O54" s="30">
        <f>O13</f>
        <v>5209028.38</v>
      </c>
      <c r="P54" s="23">
        <f>O13</f>
        <v>5209028.38</v>
      </c>
    </row>
    <row r="55" spans="11:16" ht="11.25">
      <c r="K55" s="15" t="s">
        <v>38</v>
      </c>
      <c r="L55" s="2"/>
      <c r="M55" s="2"/>
      <c r="N55" s="2"/>
      <c r="O55" s="30">
        <f>O19+O24+O29</f>
        <v>9855442.819999998</v>
      </c>
      <c r="P55" s="23">
        <f>O19+O24+O29</f>
        <v>9855442.819999998</v>
      </c>
    </row>
    <row r="56" spans="11:16" ht="11.25">
      <c r="K56" s="15" t="s">
        <v>37</v>
      </c>
      <c r="L56" s="12"/>
      <c r="M56" s="12"/>
      <c r="N56" s="12"/>
      <c r="O56" s="30">
        <f>O14</f>
        <v>746054.1399999999</v>
      </c>
      <c r="P56" s="23">
        <f>O14</f>
        <v>746054.1399999999</v>
      </c>
    </row>
    <row r="57" spans="11:16" ht="11.25">
      <c r="K57" s="2" t="s">
        <v>67</v>
      </c>
      <c r="L57" s="12"/>
      <c r="M57" s="12"/>
      <c r="N57" s="12"/>
      <c r="O57" s="30">
        <f>18643.79+208502.7</f>
        <v>227146.49000000002</v>
      </c>
      <c r="P57" s="30">
        <f>18643.79+208502.7</f>
        <v>227146.49000000002</v>
      </c>
    </row>
    <row r="58" spans="11:16" ht="11.25">
      <c r="K58" s="2" t="s">
        <v>59</v>
      </c>
      <c r="L58" s="12"/>
      <c r="M58" s="12"/>
      <c r="N58" s="12"/>
      <c r="O58" s="30"/>
      <c r="P58" s="30"/>
    </row>
    <row r="59" spans="11:16" ht="11.25">
      <c r="K59" s="2" t="s">
        <v>60</v>
      </c>
      <c r="L59" s="12"/>
      <c r="M59" s="12"/>
      <c r="N59" s="12"/>
      <c r="O59" s="30"/>
      <c r="P59" s="30"/>
    </row>
    <row r="60" spans="11:16" ht="11.25">
      <c r="K60" s="2" t="s">
        <v>72</v>
      </c>
      <c r="L60" s="12"/>
      <c r="M60" s="12"/>
      <c r="N60" s="12"/>
      <c r="O60" s="30"/>
      <c r="P60" s="30"/>
    </row>
    <row r="61" spans="11:16" ht="11.25">
      <c r="K61" s="2" t="s">
        <v>73</v>
      </c>
      <c r="L61" s="12"/>
      <c r="M61" s="12"/>
      <c r="N61" s="12"/>
      <c r="O61" s="30"/>
      <c r="P61" s="30">
        <v>-17847</v>
      </c>
    </row>
    <row r="62" spans="11:16" ht="11.25">
      <c r="K62" s="2" t="s">
        <v>61</v>
      </c>
      <c r="L62" s="12"/>
      <c r="M62" s="12"/>
      <c r="N62" s="12"/>
      <c r="O62" s="21" t="s">
        <v>34</v>
      </c>
      <c r="P62" s="21"/>
    </row>
    <row r="63" spans="11:14" ht="11.25">
      <c r="K63" s="2"/>
      <c r="L63" s="12"/>
      <c r="M63" s="12"/>
      <c r="N63" s="12"/>
    </row>
    <row r="64" spans="11:16" ht="12" thickBot="1">
      <c r="K64" s="2" t="s">
        <v>7</v>
      </c>
      <c r="L64" s="12"/>
      <c r="M64" s="12"/>
      <c r="N64" s="12"/>
      <c r="O64" s="22">
        <f>SUM(O51:O62)</f>
        <v>172006696.80999997</v>
      </c>
      <c r="P64" s="22">
        <f>SUM(P51:P62)</f>
        <v>172006697.27999997</v>
      </c>
    </row>
    <row r="65" spans="12:16" ht="12" thickTop="1">
      <c r="L65" s="23"/>
      <c r="M65" s="23"/>
      <c r="N65" s="23"/>
      <c r="O65" s="15">
        <f>O33-O64</f>
        <v>0.14000001549720764</v>
      </c>
      <c r="P65" s="15">
        <f>O64-P64</f>
        <v>-0.4699999988079071</v>
      </c>
    </row>
  </sheetData>
  <sheetProtection/>
  <printOptions horizontalCentered="1" verticalCentered="1"/>
  <pageMargins left="0" right="0" top="0.5" bottom="0.5" header="0.25" footer="0.25"/>
  <pageSetup fitToHeight="1" fitToWidth="1" horizontalDpi="300" verticalDpi="300" orientation="landscape" scale="80" r:id="rId1"/>
  <headerFooter alignWithMargins="0">
    <oddHeader>&amp;L10-29-07&amp;C&amp;F</oddHeader>
  </headerFooter>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Q66"/>
  <sheetViews>
    <sheetView zoomScalePageLayoutView="0" workbookViewId="0" topLeftCell="A1">
      <pane xSplit="1" ySplit="6" topLeftCell="B25" activePane="bottomRight" state="frozen"/>
      <selection pane="topLeft" activeCell="O2" sqref="O2"/>
      <selection pane="topRight" activeCell="O2" sqref="O2"/>
      <selection pane="bottomLeft" activeCell="O2" sqref="O2"/>
      <selection pane="bottomRight" activeCell="F24" sqref="F24"/>
    </sheetView>
  </sheetViews>
  <sheetFormatPr defaultColWidth="9.140625" defaultRowHeight="12.75" outlineLevelRow="1"/>
  <cols>
    <col min="1" max="1" width="18.8515625" style="15" customWidth="1"/>
    <col min="2" max="2" width="11.28125" style="15" customWidth="1"/>
    <col min="3" max="3" width="9.421875" style="15" customWidth="1"/>
    <col min="4" max="4" width="10.00390625" style="15" customWidth="1"/>
    <col min="5" max="5" width="10.28125" style="15" customWidth="1"/>
    <col min="6" max="6" width="11.00390625" style="15" customWidth="1"/>
    <col min="7" max="7" width="10.57421875" style="15" customWidth="1"/>
    <col min="8" max="9" width="9.140625" style="15" customWidth="1"/>
    <col min="10" max="11" width="10.140625" style="15" customWidth="1"/>
    <col min="12" max="14" width="10.00390625" style="15" customWidth="1"/>
    <col min="15" max="15" width="8.8515625" style="15" bestFit="1" customWidth="1"/>
    <col min="16" max="16384" width="9.140625" style="15" customWidth="1"/>
  </cols>
  <sheetData>
    <row r="1" spans="1:15" ht="11.25">
      <c r="A1" s="8" t="s">
        <v>92</v>
      </c>
      <c r="H1" s="13"/>
      <c r="O1" s="33" t="s">
        <v>44</v>
      </c>
    </row>
    <row r="2" ht="11.25">
      <c r="A2" s="14" t="s">
        <v>32</v>
      </c>
    </row>
    <row r="3" ht="11.25">
      <c r="O3" s="29" t="s">
        <v>34</v>
      </c>
    </row>
    <row r="4" spans="1:15" ht="11.25">
      <c r="A4" s="14" t="s">
        <v>41</v>
      </c>
      <c r="B4" s="16"/>
      <c r="C4" s="16"/>
      <c r="D4" s="16"/>
      <c r="E4" s="16"/>
      <c r="F4" s="16"/>
      <c r="G4" s="16"/>
      <c r="H4" s="16" t="s">
        <v>1</v>
      </c>
      <c r="I4" s="16"/>
      <c r="J4" s="16"/>
      <c r="K4" s="16"/>
      <c r="L4" s="16" t="s">
        <v>29</v>
      </c>
      <c r="M4" s="16"/>
      <c r="N4" s="53" t="s">
        <v>93</v>
      </c>
      <c r="O4" s="53" t="s">
        <v>91</v>
      </c>
    </row>
    <row r="5" spans="2:15" ht="11.25">
      <c r="B5" s="16" t="s">
        <v>2</v>
      </c>
      <c r="C5" s="16"/>
      <c r="D5" s="16" t="s">
        <v>3</v>
      </c>
      <c r="E5" s="16"/>
      <c r="F5" s="16"/>
      <c r="G5" s="16"/>
      <c r="H5" s="16" t="s">
        <v>4</v>
      </c>
      <c r="I5" s="16"/>
      <c r="J5" s="16" t="s">
        <v>5</v>
      </c>
      <c r="K5" s="16" t="s">
        <v>6</v>
      </c>
      <c r="L5" s="16" t="s">
        <v>30</v>
      </c>
      <c r="M5" s="16" t="s">
        <v>26</v>
      </c>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7"/>
      <c r="N6" s="31" t="s">
        <v>8</v>
      </c>
      <c r="O6" s="17" t="s">
        <v>8</v>
      </c>
    </row>
    <row r="7" spans="1:14" s="19" customFormat="1" ht="11.25">
      <c r="A7" s="5" t="s">
        <v>17</v>
      </c>
      <c r="B7" s="18"/>
      <c r="C7" s="18"/>
      <c r="D7" s="18"/>
      <c r="E7" s="18"/>
      <c r="F7" s="18"/>
      <c r="G7" s="18"/>
      <c r="H7" s="18"/>
      <c r="I7" s="18"/>
      <c r="J7" s="18"/>
      <c r="K7" s="18"/>
      <c r="L7" s="18"/>
      <c r="M7" s="18"/>
      <c r="N7" s="18"/>
    </row>
    <row r="8" spans="1:15" ht="11.25" customHeight="1">
      <c r="A8" s="8" t="s">
        <v>18</v>
      </c>
      <c r="B8" s="15">
        <f>SUM(B9:B14)</f>
        <v>593040.38</v>
      </c>
      <c r="C8" s="15">
        <f aca="true" t="shared" si="0" ref="C8:O8">SUM(C9:C14)</f>
        <v>117328.66</v>
      </c>
      <c r="D8" s="15">
        <f t="shared" si="0"/>
        <v>120762.85</v>
      </c>
      <c r="E8" s="15">
        <f t="shared" si="0"/>
        <v>0</v>
      </c>
      <c r="F8" s="15">
        <f t="shared" si="0"/>
        <v>633591.3300000001</v>
      </c>
      <c r="G8" s="15">
        <f t="shared" si="0"/>
        <v>398082.64</v>
      </c>
      <c r="H8" s="15">
        <f t="shared" si="0"/>
        <v>205209.15</v>
      </c>
      <c r="I8" s="15">
        <f t="shared" si="0"/>
        <v>410960.65</v>
      </c>
      <c r="J8" s="15">
        <f t="shared" si="0"/>
        <v>737210.57</v>
      </c>
      <c r="K8" s="15">
        <f t="shared" si="0"/>
        <v>1880236.12</v>
      </c>
      <c r="L8" s="15">
        <f t="shared" si="0"/>
        <v>944960.2999999999</v>
      </c>
      <c r="M8" s="15">
        <f t="shared" si="0"/>
        <v>565.48</v>
      </c>
      <c r="N8" s="15">
        <f t="shared" si="0"/>
        <v>6041948.129999999</v>
      </c>
      <c r="O8" s="15">
        <f t="shared" si="0"/>
        <v>5895193</v>
      </c>
    </row>
    <row r="9" spans="1:15" s="19" customFormat="1" ht="11.25" customHeight="1">
      <c r="A9" s="19" t="s">
        <v>19</v>
      </c>
      <c r="F9" s="19">
        <v>227580.45</v>
      </c>
      <c r="N9" s="19">
        <f aca="true" t="shared" si="1" ref="N9:N14">SUM(B9:M9)</f>
        <v>227580.45</v>
      </c>
      <c r="O9" s="19">
        <v>252290</v>
      </c>
    </row>
    <row r="10" spans="1:15" s="19" customFormat="1" ht="11.25" customHeight="1" outlineLevel="1">
      <c r="A10" s="19" t="s">
        <v>20</v>
      </c>
      <c r="B10" s="19">
        <v>22611.76</v>
      </c>
      <c r="D10" s="19">
        <v>15720.33</v>
      </c>
      <c r="G10" s="19">
        <v>185485.5</v>
      </c>
      <c r="J10" s="19">
        <v>19659.23</v>
      </c>
      <c r="K10" s="19">
        <v>530491.03</v>
      </c>
      <c r="L10" s="19">
        <v>363993.48</v>
      </c>
      <c r="N10" s="19">
        <f t="shared" si="1"/>
        <v>1137961.33</v>
      </c>
      <c r="O10" s="19">
        <v>908869</v>
      </c>
    </row>
    <row r="11" spans="1:15" ht="11.25" outlineLevel="1">
      <c r="A11" s="15" t="s">
        <v>21</v>
      </c>
      <c r="N11" s="19">
        <f t="shared" si="1"/>
        <v>0</v>
      </c>
      <c r="O11" s="15">
        <v>0</v>
      </c>
    </row>
    <row r="12" spans="1:15" ht="11.25" outlineLevel="1">
      <c r="A12" s="15" t="s">
        <v>35</v>
      </c>
      <c r="C12" s="20">
        <v>973.42</v>
      </c>
      <c r="D12" s="20"/>
      <c r="F12" s="15">
        <v>43161</v>
      </c>
      <c r="L12" s="15">
        <v>1505.29</v>
      </c>
      <c r="N12" s="19">
        <f t="shared" si="1"/>
        <v>45639.71</v>
      </c>
      <c r="O12" s="15">
        <v>3119</v>
      </c>
    </row>
    <row r="13" spans="1:15" ht="11.25" outlineLevel="1">
      <c r="A13" s="15" t="s">
        <v>36</v>
      </c>
      <c r="B13" s="15">
        <v>558738.34</v>
      </c>
      <c r="C13" s="15">
        <v>116355.24</v>
      </c>
      <c r="D13" s="15">
        <v>96915.11</v>
      </c>
      <c r="F13" s="15">
        <f>47484.19+315365.69</f>
        <v>362849.88</v>
      </c>
      <c r="G13" s="15">
        <v>116701.14</v>
      </c>
      <c r="H13" s="15">
        <v>205209.15</v>
      </c>
      <c r="I13" s="15">
        <v>410960.65</v>
      </c>
      <c r="J13" s="15">
        <v>707387.52</v>
      </c>
      <c r="K13" s="15">
        <v>1062749.44</v>
      </c>
      <c r="L13" s="15">
        <v>490283.13</v>
      </c>
      <c r="M13" s="15">
        <v>565.48</v>
      </c>
      <c r="N13" s="19">
        <f t="shared" si="1"/>
        <v>4128715.0799999996</v>
      </c>
      <c r="O13" s="15">
        <v>4296120</v>
      </c>
    </row>
    <row r="14" spans="1:15" ht="11.25" outlineLevel="1">
      <c r="A14" s="15" t="s">
        <v>37</v>
      </c>
      <c r="B14" s="15">
        <v>11690.28</v>
      </c>
      <c r="D14" s="15">
        <v>8127.41</v>
      </c>
      <c r="G14" s="15">
        <v>95896</v>
      </c>
      <c r="J14" s="15">
        <v>10163.82</v>
      </c>
      <c r="K14" s="15">
        <v>286995.65</v>
      </c>
      <c r="L14" s="15">
        <v>89178.4</v>
      </c>
      <c r="N14" s="19">
        <f t="shared" si="1"/>
        <v>502051.56000000006</v>
      </c>
      <c r="O14" s="15">
        <v>434795</v>
      </c>
    </row>
    <row r="16" spans="1:17" ht="11.25">
      <c r="A16" s="14" t="s">
        <v>25</v>
      </c>
      <c r="B16" s="15">
        <f aca="true" t="shared" si="2" ref="B16:O16">SUM(B17:B19)</f>
        <v>2682456.25</v>
      </c>
      <c r="C16" s="15">
        <f t="shared" si="2"/>
        <v>6521.61</v>
      </c>
      <c r="D16" s="15">
        <f t="shared" si="2"/>
        <v>151742.45</v>
      </c>
      <c r="E16" s="15">
        <f t="shared" si="2"/>
        <v>0</v>
      </c>
      <c r="F16" s="15">
        <f t="shared" si="2"/>
        <v>42759.43</v>
      </c>
      <c r="G16" s="15">
        <f t="shared" si="2"/>
        <v>0</v>
      </c>
      <c r="H16" s="15">
        <f t="shared" si="2"/>
        <v>46491.03</v>
      </c>
      <c r="I16" s="15">
        <f t="shared" si="2"/>
        <v>235186.72</v>
      </c>
      <c r="J16" s="15">
        <f t="shared" si="2"/>
        <v>2284018.0700000003</v>
      </c>
      <c r="K16" s="15">
        <f t="shared" si="2"/>
        <v>520417.97</v>
      </c>
      <c r="L16" s="15">
        <f t="shared" si="2"/>
        <v>164196.34</v>
      </c>
      <c r="M16" s="15">
        <f t="shared" si="2"/>
        <v>0</v>
      </c>
      <c r="N16" s="15">
        <f t="shared" si="2"/>
        <v>6133789.870000001</v>
      </c>
      <c r="O16" s="15">
        <f t="shared" si="2"/>
        <v>5282043</v>
      </c>
      <c r="Q16" s="15" t="e">
        <f>SUM(#REF!+#REF!+#REF!+#REF!)</f>
        <v>#REF!</v>
      </c>
    </row>
    <row r="17" spans="1:15" ht="11.25" outlineLevel="1">
      <c r="A17" s="15" t="s">
        <v>22</v>
      </c>
      <c r="B17" s="15">
        <v>2622781.25</v>
      </c>
      <c r="C17" s="15">
        <v>6521.61</v>
      </c>
      <c r="D17" s="19">
        <v>130142.41</v>
      </c>
      <c r="F17" s="15">
        <v>42759.42</v>
      </c>
      <c r="H17" s="15">
        <v>46491.03</v>
      </c>
      <c r="I17" s="15">
        <v>235186.72</v>
      </c>
      <c r="J17" s="15">
        <v>2073142.87</v>
      </c>
      <c r="K17" s="15">
        <v>520417.97</v>
      </c>
      <c r="L17" s="15">
        <v>158676.36</v>
      </c>
      <c r="N17" s="19">
        <f>SUM(B17:M17)</f>
        <v>5836119.640000001</v>
      </c>
      <c r="O17" s="15">
        <v>5033944</v>
      </c>
    </row>
    <row r="18" spans="1:15" ht="11.25" outlineLevel="1">
      <c r="A18" s="15" t="s">
        <v>46</v>
      </c>
      <c r="N18" s="19">
        <f>SUM(B18:M18)</f>
        <v>0</v>
      </c>
      <c r="O18" s="15">
        <v>0</v>
      </c>
    </row>
    <row r="19" spans="1:15" ht="11.25" outlineLevel="1">
      <c r="A19" s="15" t="s">
        <v>38</v>
      </c>
      <c r="B19" s="15">
        <f>59675</f>
        <v>59675</v>
      </c>
      <c r="D19" s="15">
        <f>21600.04</f>
        <v>21600.04</v>
      </c>
      <c r="F19" s="15">
        <f>0.01</f>
        <v>0.01</v>
      </c>
      <c r="J19" s="15">
        <f>210875.2</f>
        <v>210875.2</v>
      </c>
      <c r="L19" s="15">
        <f>5519.98</f>
        <v>5519.98</v>
      </c>
      <c r="N19" s="19">
        <f>SUM(B19:M19)</f>
        <v>297670.23</v>
      </c>
      <c r="O19" s="15">
        <v>248099</v>
      </c>
    </row>
    <row r="21" spans="1:15" ht="11.25">
      <c r="A21" s="14" t="s">
        <v>23</v>
      </c>
      <c r="B21" s="15">
        <f aca="true" t="shared" si="3" ref="B21:O21">SUM(B22:B24)</f>
        <v>1934715.47</v>
      </c>
      <c r="C21" s="15">
        <f t="shared" si="3"/>
        <v>624390.91</v>
      </c>
      <c r="D21" s="15">
        <f t="shared" si="3"/>
        <v>867865.5190000001</v>
      </c>
      <c r="E21" s="15">
        <f t="shared" si="3"/>
        <v>-655.65</v>
      </c>
      <c r="F21" s="15">
        <f t="shared" si="3"/>
        <v>7826946.77</v>
      </c>
      <c r="G21" s="15">
        <f t="shared" si="3"/>
        <v>389889.36</v>
      </c>
      <c r="H21" s="15">
        <f t="shared" si="3"/>
        <v>107103.78</v>
      </c>
      <c r="I21" s="15">
        <f t="shared" si="3"/>
        <v>1186603.4900000002</v>
      </c>
      <c r="J21" s="15">
        <f t="shared" si="3"/>
        <v>62278.53</v>
      </c>
      <c r="K21" s="15">
        <f t="shared" si="3"/>
        <v>3561857.2300000004</v>
      </c>
      <c r="L21" s="15">
        <f t="shared" si="3"/>
        <v>4018401.62</v>
      </c>
      <c r="M21" s="15">
        <f t="shared" si="3"/>
        <v>3541.1099999999997</v>
      </c>
      <c r="N21" s="15">
        <f t="shared" si="3"/>
        <v>20582938.139</v>
      </c>
      <c r="O21" s="15">
        <f t="shared" si="3"/>
        <v>21516378</v>
      </c>
    </row>
    <row r="22" spans="1:15" ht="11.25" outlineLevel="1">
      <c r="A22" s="15" t="s">
        <v>22</v>
      </c>
      <c r="B22" s="15">
        <v>1832413.26</v>
      </c>
      <c r="C22" s="15">
        <v>549854.11</v>
      </c>
      <c r="D22" s="15">
        <v>786690.04</v>
      </c>
      <c r="E22" s="15">
        <v>-655.65</v>
      </c>
      <c r="F22" s="15">
        <v>121694.39</v>
      </c>
      <c r="G22" s="15">
        <v>353498.26</v>
      </c>
      <c r="H22" s="15">
        <v>102925.28</v>
      </c>
      <c r="I22" s="15">
        <v>1166092.62</v>
      </c>
      <c r="J22" s="15">
        <v>56776.7</v>
      </c>
      <c r="K22" s="15">
        <v>3410708.99</v>
      </c>
      <c r="L22" s="15">
        <v>3794793.21</v>
      </c>
      <c r="M22" s="15">
        <v>3281.12</v>
      </c>
      <c r="N22" s="19">
        <f>SUM(B22:M22)</f>
        <v>12178072.33</v>
      </c>
      <c r="O22" s="15">
        <v>12812456</v>
      </c>
    </row>
    <row r="23" spans="1:15" ht="11.25" outlineLevel="1">
      <c r="A23" s="15" t="s">
        <v>46</v>
      </c>
      <c r="F23" s="15">
        <v>6143496.51</v>
      </c>
      <c r="N23" s="19">
        <f>SUM(B23:M23)</f>
        <v>6143496.51</v>
      </c>
      <c r="O23" s="15">
        <v>6544785</v>
      </c>
    </row>
    <row r="24" spans="1:15" ht="11.25" outlineLevel="1">
      <c r="A24" s="15" t="s">
        <v>38</v>
      </c>
      <c r="B24" s="15">
        <f>102302.21</f>
        <v>102302.21</v>
      </c>
      <c r="C24" s="15">
        <f>74536.8</f>
        <v>74536.8</v>
      </c>
      <c r="D24" s="15">
        <f>81175.479</f>
        <v>81175.479</v>
      </c>
      <c r="F24" s="15">
        <f>39881.32+1521874.55</f>
        <v>1561755.87</v>
      </c>
      <c r="G24" s="15">
        <f>36391.1</f>
        <v>36391.1</v>
      </c>
      <c r="H24" s="15">
        <f>4178.5</f>
        <v>4178.5</v>
      </c>
      <c r="I24" s="15">
        <f>20510.87</f>
        <v>20510.87</v>
      </c>
      <c r="J24" s="15">
        <f>5501.83</f>
        <v>5501.83</v>
      </c>
      <c r="K24" s="15">
        <f>151148.24</f>
        <v>151148.24</v>
      </c>
      <c r="L24" s="15">
        <f>223608.41</f>
        <v>223608.41</v>
      </c>
      <c r="M24" s="15">
        <f>259.99</f>
        <v>259.99</v>
      </c>
      <c r="N24" s="19">
        <f>SUM(B24:M24)</f>
        <v>2261369.2990000006</v>
      </c>
      <c r="O24" s="15">
        <v>2159137</v>
      </c>
    </row>
    <row r="26" spans="1:15" ht="11.25">
      <c r="A26" s="14" t="s">
        <v>24</v>
      </c>
      <c r="B26" s="15">
        <f aca="true" t="shared" si="4" ref="B26:O26">SUM(B27:B29)</f>
        <v>368969.11</v>
      </c>
      <c r="C26" s="15">
        <f t="shared" si="4"/>
        <v>0</v>
      </c>
      <c r="D26" s="15">
        <f t="shared" si="4"/>
        <v>82581.26</v>
      </c>
      <c r="E26" s="15">
        <f t="shared" si="4"/>
        <v>0</v>
      </c>
      <c r="F26" s="15">
        <f t="shared" si="4"/>
        <v>70755.11</v>
      </c>
      <c r="G26" s="15">
        <f t="shared" si="4"/>
        <v>10503.96</v>
      </c>
      <c r="H26" s="15">
        <f t="shared" si="4"/>
        <v>532962.9</v>
      </c>
      <c r="I26" s="15">
        <f t="shared" si="4"/>
        <v>3711.98</v>
      </c>
      <c r="J26" s="15">
        <f t="shared" si="4"/>
        <v>0</v>
      </c>
      <c r="K26" s="15">
        <f t="shared" si="4"/>
        <v>236875.75</v>
      </c>
      <c r="L26" s="15">
        <f t="shared" si="4"/>
        <v>1871115.8399999999</v>
      </c>
      <c r="M26" s="15">
        <f t="shared" si="4"/>
        <v>0</v>
      </c>
      <c r="N26" s="15">
        <f t="shared" si="4"/>
        <v>3177475.9099999997</v>
      </c>
      <c r="O26" s="15">
        <f t="shared" si="4"/>
        <v>3564701</v>
      </c>
    </row>
    <row r="27" spans="1:15" ht="11.25" outlineLevel="1">
      <c r="A27" s="15" t="s">
        <v>22</v>
      </c>
      <c r="B27" s="15">
        <v>344414.11</v>
      </c>
      <c r="D27" s="15">
        <v>82581.26</v>
      </c>
      <c r="F27" s="15">
        <v>70755.11</v>
      </c>
      <c r="G27" s="15">
        <v>10503.96</v>
      </c>
      <c r="H27" s="15">
        <v>444721.06</v>
      </c>
      <c r="I27" s="15">
        <v>3711.98</v>
      </c>
      <c r="K27" s="15">
        <v>189888.22</v>
      </c>
      <c r="L27" s="15">
        <v>1871115.94</v>
      </c>
      <c r="N27" s="19">
        <f>SUM(B27:M27)</f>
        <v>3017691.6399999997</v>
      </c>
      <c r="O27" s="15">
        <v>3222060</v>
      </c>
    </row>
    <row r="28" spans="1:15" ht="11.25" outlineLevel="1">
      <c r="A28" s="15" t="s">
        <v>46</v>
      </c>
      <c r="N28" s="19">
        <f>SUM(B28:M28)</f>
        <v>0</v>
      </c>
      <c r="O28" s="15">
        <v>0</v>
      </c>
    </row>
    <row r="29" spans="1:15" ht="11.25" outlineLevel="1">
      <c r="A29" s="15" t="s">
        <v>38</v>
      </c>
      <c r="B29" s="15">
        <f>24555</f>
        <v>24555</v>
      </c>
      <c r="H29" s="15">
        <f>88241.84</f>
        <v>88241.84</v>
      </c>
      <c r="K29" s="15">
        <f>46987.53</f>
        <v>46987.53</v>
      </c>
      <c r="L29" s="15">
        <f>-0.1</f>
        <v>-0.1</v>
      </c>
      <c r="N29" s="19">
        <f>SUM(B29:M29)</f>
        <v>159784.27</v>
      </c>
      <c r="O29" s="15">
        <v>342641</v>
      </c>
    </row>
    <row r="31" spans="1:15" ht="11.25">
      <c r="A31" s="14" t="s">
        <v>27</v>
      </c>
      <c r="N31" s="19">
        <f>SUM(B31:M31)</f>
        <v>0</v>
      </c>
      <c r="O31" s="15">
        <v>0</v>
      </c>
    </row>
    <row r="32" spans="2:15" ht="11.25">
      <c r="B32" s="21"/>
      <c r="C32" s="21"/>
      <c r="D32" s="21"/>
      <c r="E32" s="21"/>
      <c r="F32" s="21"/>
      <c r="G32" s="21"/>
      <c r="H32" s="21"/>
      <c r="I32" s="21"/>
      <c r="J32" s="21"/>
      <c r="K32" s="21"/>
      <c r="L32" s="21"/>
      <c r="M32" s="21"/>
      <c r="N32" s="21"/>
      <c r="O32" s="21"/>
    </row>
    <row r="33" spans="1:15" ht="12" thickBot="1">
      <c r="A33" s="8" t="s">
        <v>7</v>
      </c>
      <c r="B33" s="22">
        <f aca="true" t="shared" si="5" ref="B33:O33">+B31+B26+B21+B16+B8</f>
        <v>5579181.21</v>
      </c>
      <c r="C33" s="22">
        <f t="shared" si="5"/>
        <v>748241.18</v>
      </c>
      <c r="D33" s="22">
        <f t="shared" si="5"/>
        <v>1222952.0790000001</v>
      </c>
      <c r="E33" s="22">
        <f t="shared" si="5"/>
        <v>-655.65</v>
      </c>
      <c r="F33" s="22">
        <f t="shared" si="5"/>
        <v>8574052.64</v>
      </c>
      <c r="G33" s="22">
        <f t="shared" si="5"/>
        <v>798475.96</v>
      </c>
      <c r="H33" s="22">
        <f t="shared" si="5"/>
        <v>891766.8600000001</v>
      </c>
      <c r="I33" s="22">
        <f t="shared" si="5"/>
        <v>1836462.8400000003</v>
      </c>
      <c r="J33" s="22">
        <f t="shared" si="5"/>
        <v>3083507.17</v>
      </c>
      <c r="K33" s="22">
        <f t="shared" si="5"/>
        <v>6199387.07</v>
      </c>
      <c r="L33" s="22">
        <f t="shared" si="5"/>
        <v>6998674.1</v>
      </c>
      <c r="M33" s="22">
        <f t="shared" si="5"/>
        <v>4106.59</v>
      </c>
      <c r="N33" s="22">
        <f t="shared" si="5"/>
        <v>35936152.048999995</v>
      </c>
      <c r="O33" s="22">
        <f t="shared" si="5"/>
        <v>36258315</v>
      </c>
    </row>
    <row r="34" ht="12" thickTop="1">
      <c r="F34" s="24" t="s">
        <v>34</v>
      </c>
    </row>
    <row r="36" spans="2:8" ht="11.25">
      <c r="B36" s="23"/>
      <c r="C36" s="23"/>
      <c r="D36" s="23"/>
      <c r="E36" s="23"/>
      <c r="F36" s="23"/>
      <c r="G36" s="23"/>
      <c r="H36" s="23"/>
    </row>
    <row r="37" spans="1:8" ht="11.25">
      <c r="A37" s="8"/>
      <c r="B37" s="23"/>
      <c r="C37" s="23"/>
      <c r="D37" s="23"/>
      <c r="E37" s="23"/>
      <c r="F37" s="23"/>
      <c r="G37" s="23"/>
      <c r="H37" s="23"/>
    </row>
    <row r="38" spans="2:8" ht="11.25">
      <c r="B38" s="23"/>
      <c r="C38" s="23"/>
      <c r="D38" s="23"/>
      <c r="E38" s="23"/>
      <c r="F38" s="23"/>
      <c r="G38" s="23"/>
      <c r="H38" s="23"/>
    </row>
    <row r="39" spans="2:8" ht="11.25">
      <c r="B39" s="23"/>
      <c r="C39" s="23"/>
      <c r="D39" s="23"/>
      <c r="E39" s="23"/>
      <c r="F39" s="23"/>
      <c r="G39" s="23"/>
      <c r="H39" s="23"/>
    </row>
    <row r="40" spans="2:10" ht="11.25">
      <c r="B40" s="23"/>
      <c r="C40" s="23"/>
      <c r="D40" s="23"/>
      <c r="E40" s="23"/>
      <c r="F40" s="23"/>
      <c r="G40" s="23"/>
      <c r="H40" s="23"/>
      <c r="I40" s="23"/>
      <c r="J40" s="23"/>
    </row>
    <row r="41" spans="2:10" ht="11.25">
      <c r="B41" s="23"/>
      <c r="C41" s="23"/>
      <c r="D41" s="23"/>
      <c r="E41" s="23"/>
      <c r="F41" s="23"/>
      <c r="G41" s="23"/>
      <c r="H41" s="23"/>
      <c r="I41" s="23"/>
      <c r="J41" s="23"/>
    </row>
    <row r="42" spans="2:8" ht="11.25">
      <c r="B42" s="23"/>
      <c r="C42" s="23"/>
      <c r="D42" s="23"/>
      <c r="E42" s="23"/>
      <c r="F42" s="23"/>
      <c r="G42" s="23"/>
      <c r="H42" s="23"/>
    </row>
    <row r="43" spans="2:16" ht="11.25">
      <c r="B43" s="23"/>
      <c r="C43" s="23"/>
      <c r="D43" s="23"/>
      <c r="E43" s="23"/>
      <c r="F43" s="23"/>
      <c r="G43" s="23"/>
      <c r="H43" s="23"/>
      <c r="K43" s="23"/>
      <c r="L43" s="23"/>
      <c r="M43" s="23"/>
      <c r="N43" s="23"/>
      <c r="O43" s="23"/>
      <c r="P43" s="23"/>
    </row>
    <row r="44" spans="2:16" ht="11.25">
      <c r="B44" s="23"/>
      <c r="C44" s="23"/>
      <c r="D44" s="23"/>
      <c r="E44" s="23"/>
      <c r="F44" s="23"/>
      <c r="G44" s="23"/>
      <c r="H44" s="23"/>
      <c r="K44" s="23"/>
      <c r="L44" s="23"/>
      <c r="M44" s="23"/>
      <c r="N44" s="23"/>
      <c r="O44" s="23"/>
      <c r="P44" s="23"/>
    </row>
    <row r="45" spans="2:16" ht="11.25">
      <c r="B45" s="27"/>
      <c r="C45" s="12"/>
      <c r="D45" s="12"/>
      <c r="K45" s="23"/>
      <c r="L45" s="23"/>
      <c r="M45" s="23"/>
      <c r="N45" s="23"/>
      <c r="O45" s="23"/>
      <c r="P45" s="23"/>
    </row>
    <row r="46" spans="11:16" ht="11.25">
      <c r="K46" s="8" t="s">
        <v>49</v>
      </c>
      <c r="L46" s="2"/>
      <c r="M46" s="2"/>
      <c r="N46" s="28" t="s">
        <v>50</v>
      </c>
      <c r="O46" s="28" t="s">
        <v>51</v>
      </c>
      <c r="P46" s="23"/>
    </row>
    <row r="47" spans="11:16" ht="11.25">
      <c r="K47" s="2"/>
      <c r="L47" s="2"/>
      <c r="M47" s="2"/>
      <c r="N47" s="28" t="s">
        <v>52</v>
      </c>
      <c r="O47" s="28" t="s">
        <v>53</v>
      </c>
      <c r="P47" s="23"/>
    </row>
    <row r="48" spans="11:16" ht="11.25">
      <c r="K48" s="2"/>
      <c r="L48" s="12"/>
      <c r="M48" s="12"/>
      <c r="N48" s="19"/>
      <c r="P48" s="23"/>
    </row>
    <row r="49" spans="11:16" ht="11.25">
      <c r="K49" s="2" t="s">
        <v>68</v>
      </c>
      <c r="L49" s="12"/>
      <c r="M49" s="12"/>
      <c r="N49" s="36">
        <f>N18+N17+N22+N23+N27+N28-N58+N9</f>
        <v>27175380.119999997</v>
      </c>
      <c r="O49" s="21">
        <v>27175380.93</v>
      </c>
      <c r="P49" s="23"/>
    </row>
    <row r="50" spans="11:16" ht="11.25">
      <c r="K50" s="2"/>
      <c r="L50" s="12"/>
      <c r="M50" s="12"/>
      <c r="N50" s="19"/>
      <c r="P50" s="23"/>
    </row>
    <row r="51" spans="11:16" ht="12" thickBot="1">
      <c r="K51" s="2" t="s">
        <v>66</v>
      </c>
      <c r="L51" s="12"/>
      <c r="M51" s="12"/>
      <c r="N51" s="37">
        <f>N49</f>
        <v>27175380.119999997</v>
      </c>
      <c r="O51" s="22">
        <f>O49</f>
        <v>27175380.93</v>
      </c>
      <c r="P51" s="23"/>
    </row>
    <row r="52" spans="2:16" ht="12" thickTop="1">
      <c r="B52" s="23"/>
      <c r="C52" s="23"/>
      <c r="D52" s="23"/>
      <c r="E52" s="23"/>
      <c r="F52" s="23"/>
      <c r="G52" s="23"/>
      <c r="H52" s="23"/>
      <c r="I52" s="23"/>
      <c r="J52" s="23"/>
      <c r="K52" s="2"/>
      <c r="L52" s="12"/>
      <c r="M52" s="12"/>
      <c r="N52" s="19"/>
      <c r="P52" s="23"/>
    </row>
    <row r="53" spans="11:16" ht="11.25">
      <c r="K53" s="15" t="s">
        <v>35</v>
      </c>
      <c r="L53" s="2"/>
      <c r="M53" s="2"/>
      <c r="N53" s="19">
        <f>SUM(N12)</f>
        <v>45639.71</v>
      </c>
      <c r="O53" s="15">
        <f>SUM(N12)</f>
        <v>45639.71</v>
      </c>
      <c r="P53" s="23"/>
    </row>
    <row r="54" spans="11:16" ht="11.25">
      <c r="K54" s="15" t="s">
        <v>36</v>
      </c>
      <c r="L54" s="2"/>
      <c r="M54" s="2"/>
      <c r="N54" s="30">
        <f>SUM(N13)</f>
        <v>4128715.0799999996</v>
      </c>
      <c r="O54" s="23">
        <f>SUM(N13)</f>
        <v>4128715.0799999996</v>
      </c>
      <c r="P54" s="23"/>
    </row>
    <row r="55" spans="11:16" ht="11.25">
      <c r="K55" s="15" t="s">
        <v>38</v>
      </c>
      <c r="L55" s="2"/>
      <c r="M55" s="2"/>
      <c r="N55" s="30">
        <f>SUM(N29+N19+N24)</f>
        <v>2718823.7990000006</v>
      </c>
      <c r="O55" s="23">
        <f>SUM(N29+N19+N24)</f>
        <v>2718823.7990000006</v>
      </c>
      <c r="P55" s="23"/>
    </row>
    <row r="56" spans="11:16" ht="11.25">
      <c r="K56" s="15" t="s">
        <v>37</v>
      </c>
      <c r="L56" s="12"/>
      <c r="M56" s="12"/>
      <c r="N56" s="30">
        <f>SUM(N14)</f>
        <v>502051.56000000006</v>
      </c>
      <c r="O56" s="23">
        <f>SUM(N14)</f>
        <v>502051.56000000006</v>
      </c>
      <c r="P56" s="23"/>
    </row>
    <row r="57" spans="11:16" ht="11.25">
      <c r="K57" s="2" t="s">
        <v>69</v>
      </c>
      <c r="L57" s="2"/>
      <c r="M57" s="2"/>
      <c r="N57" s="30">
        <f>N10</f>
        <v>1137961.33</v>
      </c>
      <c r="O57" s="23">
        <f>N10</f>
        <v>1137961.33</v>
      </c>
      <c r="P57" s="23"/>
    </row>
    <row r="58" spans="11:16" ht="11.25">
      <c r="K58" s="2" t="s">
        <v>58</v>
      </c>
      <c r="L58" s="12"/>
      <c r="M58" s="12"/>
      <c r="N58" s="30">
        <v>227580.45</v>
      </c>
      <c r="O58" s="23">
        <v>227580.45</v>
      </c>
      <c r="P58" s="23"/>
    </row>
    <row r="59" spans="11:16" ht="11.25">
      <c r="K59" s="2" t="s">
        <v>59</v>
      </c>
      <c r="L59" s="12"/>
      <c r="M59" s="12"/>
      <c r="N59" s="36"/>
      <c r="O59" s="21">
        <v>0</v>
      </c>
      <c r="P59" s="23"/>
    </row>
    <row r="60" spans="11:16" ht="11.25">
      <c r="K60" s="2"/>
      <c r="L60" s="12"/>
      <c r="M60" s="12"/>
      <c r="P60" s="23"/>
    </row>
    <row r="61" spans="11:16" ht="12" thickBot="1">
      <c r="K61" s="2" t="s">
        <v>7</v>
      </c>
      <c r="L61" s="12"/>
      <c r="M61" s="12"/>
      <c r="N61" s="22">
        <f>SUM(N51:N59)</f>
        <v>35936152.049</v>
      </c>
      <c r="O61" s="22">
        <f>SUM(O51:O59)</f>
        <v>35936152.859000005</v>
      </c>
      <c r="P61" s="23"/>
    </row>
    <row r="62" spans="14:16" ht="12" thickTop="1">
      <c r="N62" s="15">
        <f>+N33-N61</f>
        <v>0</v>
      </c>
      <c r="O62" s="15">
        <f>N61-O61</f>
        <v>-0.8100000023841858</v>
      </c>
      <c r="P62" s="23"/>
    </row>
    <row r="63" spans="11:16" ht="11.25">
      <c r="K63" s="23"/>
      <c r="L63" s="23"/>
      <c r="M63" s="23"/>
      <c r="N63" s="23"/>
      <c r="O63" s="23"/>
      <c r="P63" s="23"/>
    </row>
    <row r="64" spans="11:16" ht="11.25">
      <c r="K64" s="23"/>
      <c r="L64" s="23"/>
      <c r="M64" s="23"/>
      <c r="N64" s="23"/>
      <c r="O64" s="23"/>
      <c r="P64" s="23"/>
    </row>
    <row r="65" spans="11:16" ht="11.25">
      <c r="K65" s="23"/>
      <c r="L65" s="23"/>
      <c r="M65" s="23"/>
      <c r="N65" s="23"/>
      <c r="O65" s="23"/>
      <c r="P65" s="23"/>
    </row>
    <row r="66" spans="11:16" ht="11.25">
      <c r="K66" s="23"/>
      <c r="L66" s="23"/>
      <c r="M66" s="23"/>
      <c r="N66" s="23"/>
      <c r="O66" s="23"/>
      <c r="P66" s="23"/>
    </row>
  </sheetData>
  <sheetProtection/>
  <printOptions horizontalCentered="1" verticalCentered="1"/>
  <pageMargins left="0" right="0" top="0.5" bottom="0.5" header="0.25" footer="0.25"/>
  <pageSetup fitToHeight="1" fitToWidth="1" horizontalDpi="300" verticalDpi="300" orientation="landscape" scale="78" r:id="rId1"/>
  <headerFooter alignWithMargins="0">
    <oddHeader>&amp;L10-29-07&amp;C&amp;F</oddHeader>
  </headerFooter>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Q63"/>
  <sheetViews>
    <sheetView zoomScalePageLayoutView="0" workbookViewId="0" topLeftCell="A1">
      <pane xSplit="1" ySplit="6" topLeftCell="B18" activePane="bottomRight" state="frozen"/>
      <selection pane="topLeft" activeCell="O2" sqref="O2"/>
      <selection pane="topRight" activeCell="O2" sqref="O2"/>
      <selection pane="bottomLeft" activeCell="O2" sqref="O2"/>
      <selection pane="bottomRight" activeCell="O49" sqref="O49"/>
    </sheetView>
  </sheetViews>
  <sheetFormatPr defaultColWidth="9.140625" defaultRowHeight="12.75" outlineLevelRow="1"/>
  <cols>
    <col min="1" max="1" width="18.8515625" style="15" customWidth="1"/>
    <col min="2" max="2" width="10.57421875" style="15" customWidth="1"/>
    <col min="3" max="3" width="9.8515625" style="15" bestFit="1" customWidth="1"/>
    <col min="4" max="4" width="10.00390625" style="15" customWidth="1"/>
    <col min="5" max="5" width="10.28125" style="15" customWidth="1"/>
    <col min="6" max="6" width="9.140625" style="15" customWidth="1"/>
    <col min="7" max="7" width="10.57421875" style="15" customWidth="1"/>
    <col min="8" max="9" width="9.140625" style="15" customWidth="1"/>
    <col min="10" max="11" width="10.140625" style="15" customWidth="1"/>
    <col min="12" max="12" width="10.00390625" style="15" customWidth="1"/>
    <col min="13" max="13" width="9.140625" style="15" customWidth="1"/>
    <col min="14" max="14" width="10.00390625" style="15" bestFit="1" customWidth="1"/>
    <col min="15" max="15" width="8.8515625" style="15" bestFit="1" customWidth="1"/>
    <col min="16" max="16384" width="9.140625" style="15" customWidth="1"/>
  </cols>
  <sheetData>
    <row r="1" spans="1:15" ht="11.25">
      <c r="A1" s="8" t="s">
        <v>92</v>
      </c>
      <c r="H1" s="13"/>
      <c r="O1" s="33" t="s">
        <v>45</v>
      </c>
    </row>
    <row r="2" ht="11.25">
      <c r="A2" s="14" t="s">
        <v>28</v>
      </c>
    </row>
    <row r="3" ht="11.25">
      <c r="O3" s="29" t="s">
        <v>34</v>
      </c>
    </row>
    <row r="4" spans="1:15" ht="11.25">
      <c r="A4" s="14" t="s">
        <v>41</v>
      </c>
      <c r="B4" s="16"/>
      <c r="C4" s="16"/>
      <c r="D4" s="16"/>
      <c r="E4" s="16"/>
      <c r="F4" s="16"/>
      <c r="G4" s="16"/>
      <c r="H4" s="16" t="s">
        <v>1</v>
      </c>
      <c r="I4" s="16"/>
      <c r="J4" s="16"/>
      <c r="K4" s="16"/>
      <c r="L4" s="16" t="s">
        <v>29</v>
      </c>
      <c r="M4" s="16"/>
      <c r="N4" s="53" t="s">
        <v>93</v>
      </c>
      <c r="O4" s="53" t="s">
        <v>91</v>
      </c>
    </row>
    <row r="5" spans="2:15" ht="11.25">
      <c r="B5" s="16" t="s">
        <v>2</v>
      </c>
      <c r="C5" s="16"/>
      <c r="D5" s="16" t="s">
        <v>3</v>
      </c>
      <c r="E5" s="16"/>
      <c r="F5" s="16"/>
      <c r="G5" s="16"/>
      <c r="H5" s="16" t="s">
        <v>4</v>
      </c>
      <c r="I5" s="16"/>
      <c r="J5" s="16" t="s">
        <v>5</v>
      </c>
      <c r="K5" s="16" t="s">
        <v>6</v>
      </c>
      <c r="L5" s="16" t="s">
        <v>30</v>
      </c>
      <c r="M5" s="16" t="s">
        <v>26</v>
      </c>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7"/>
      <c r="N6" s="31" t="s">
        <v>8</v>
      </c>
      <c r="O6" s="31" t="s">
        <v>8</v>
      </c>
    </row>
    <row r="7" spans="1:15" s="19" customFormat="1" ht="11.25">
      <c r="A7" s="5" t="s">
        <v>17</v>
      </c>
      <c r="B7" s="18"/>
      <c r="C7" s="18"/>
      <c r="D7" s="18"/>
      <c r="E7" s="18"/>
      <c r="F7" s="18"/>
      <c r="G7" s="18"/>
      <c r="H7" s="18"/>
      <c r="I7" s="18"/>
      <c r="J7" s="18"/>
      <c r="K7" s="18"/>
      <c r="L7" s="18"/>
      <c r="M7" s="18"/>
      <c r="N7" s="18"/>
      <c r="O7" s="18"/>
    </row>
    <row r="8" spans="1:15" ht="11.25" customHeight="1">
      <c r="A8" s="8" t="s">
        <v>18</v>
      </c>
      <c r="B8" s="15">
        <f>SUM(B9:B14)</f>
        <v>5049723.7299999995</v>
      </c>
      <c r="C8" s="15">
        <f aca="true" t="shared" si="0" ref="C8:O8">SUM(C9:C14)</f>
        <v>32647589.349999998</v>
      </c>
      <c r="D8" s="15">
        <f t="shared" si="0"/>
        <v>3607.22</v>
      </c>
      <c r="E8" s="15">
        <f t="shared" si="0"/>
        <v>144214.73</v>
      </c>
      <c r="F8" s="15">
        <f t="shared" si="0"/>
        <v>270407.32</v>
      </c>
      <c r="G8" s="15">
        <f t="shared" si="0"/>
        <v>3934043.8800000004</v>
      </c>
      <c r="H8" s="15">
        <f t="shared" si="0"/>
        <v>186294.81999999998</v>
      </c>
      <c r="I8" s="15">
        <f t="shared" si="0"/>
        <v>179632.13</v>
      </c>
      <c r="J8" s="15">
        <f t="shared" si="0"/>
        <v>2974072.7800000003</v>
      </c>
      <c r="K8" s="15">
        <f t="shared" si="0"/>
        <v>0</v>
      </c>
      <c r="L8" s="15">
        <f t="shared" si="0"/>
        <v>2492901.06</v>
      </c>
      <c r="M8" s="15">
        <f t="shared" si="0"/>
        <v>106504.78</v>
      </c>
      <c r="N8" s="15">
        <f t="shared" si="0"/>
        <v>47988991.80000001</v>
      </c>
      <c r="O8" s="15">
        <f t="shared" si="0"/>
        <v>48540361</v>
      </c>
    </row>
    <row r="9" spans="1:15" s="7" customFormat="1" ht="11.25" customHeight="1" outlineLevel="1">
      <c r="A9" s="7" t="s">
        <v>19</v>
      </c>
      <c r="B9" s="7">
        <v>4398866.59</v>
      </c>
      <c r="C9" s="7">
        <v>31430069</v>
      </c>
      <c r="D9" s="7">
        <v>0</v>
      </c>
      <c r="E9" s="7">
        <v>120789.57</v>
      </c>
      <c r="F9" s="7">
        <v>94704.32</v>
      </c>
      <c r="G9" s="7">
        <v>3304328.86</v>
      </c>
      <c r="H9" s="7">
        <v>0.02</v>
      </c>
      <c r="J9" s="7">
        <v>2935415.85</v>
      </c>
      <c r="L9" s="7">
        <v>2492901.06</v>
      </c>
      <c r="M9" s="7">
        <v>106504.78</v>
      </c>
      <c r="N9" s="7">
        <f aca="true" t="shared" si="1" ref="N9:N14">SUM(B9:M9)</f>
        <v>44883580.05000001</v>
      </c>
      <c r="O9" s="7">
        <v>44089947</v>
      </c>
    </row>
    <row r="10" spans="1:15" s="7" customFormat="1" ht="11.25" customHeight="1" outlineLevel="1">
      <c r="A10" s="7" t="s">
        <v>20</v>
      </c>
      <c r="C10" s="7">
        <v>343834.24</v>
      </c>
      <c r="G10" s="7">
        <v>27514.31</v>
      </c>
      <c r="H10" s="7">
        <v>36971.46</v>
      </c>
      <c r="N10" s="7">
        <f t="shared" si="1"/>
        <v>408320.01</v>
      </c>
      <c r="O10" s="7">
        <v>1672823</v>
      </c>
    </row>
    <row r="11" spans="1:15" ht="11.25" customHeight="1" outlineLevel="1">
      <c r="A11" s="15" t="s">
        <v>31</v>
      </c>
      <c r="N11" s="7">
        <f t="shared" si="1"/>
        <v>0</v>
      </c>
      <c r="O11" s="15">
        <v>0</v>
      </c>
    </row>
    <row r="12" spans="1:15" ht="11.25" outlineLevel="1">
      <c r="A12" s="15" t="s">
        <v>35</v>
      </c>
      <c r="C12" s="20"/>
      <c r="N12" s="7">
        <f t="shared" si="1"/>
        <v>0</v>
      </c>
      <c r="O12" s="15">
        <v>117</v>
      </c>
    </row>
    <row r="13" spans="1:17" ht="11.25" outlineLevel="1">
      <c r="A13" s="15" t="s">
        <v>36</v>
      </c>
      <c r="B13" s="15">
        <v>650857.14</v>
      </c>
      <c r="C13" s="15">
        <v>760220.81</v>
      </c>
      <c r="D13" s="15">
        <v>3607.22</v>
      </c>
      <c r="E13" s="15">
        <v>23425.16</v>
      </c>
      <c r="F13" s="15">
        <v>175703</v>
      </c>
      <c r="G13" s="15">
        <f>571598.5+21522.49</f>
        <v>593120.99</v>
      </c>
      <c r="H13" s="15">
        <v>137122.76</v>
      </c>
      <c r="I13" s="15">
        <v>179632.13</v>
      </c>
      <c r="J13" s="15">
        <v>38656.93</v>
      </c>
      <c r="N13" s="7">
        <f t="shared" si="1"/>
        <v>2562346.14</v>
      </c>
      <c r="O13" s="15">
        <v>2225443</v>
      </c>
      <c r="Q13" s="15" t="e">
        <f>SUM(#REF!+#REF!+#REF!+#REF!+#REF!)</f>
        <v>#REF!</v>
      </c>
    </row>
    <row r="14" spans="1:15" ht="11.25" outlineLevel="1">
      <c r="A14" s="15" t="s">
        <v>37</v>
      </c>
      <c r="C14" s="15">
        <v>113465.3</v>
      </c>
      <c r="G14" s="15">
        <v>9079.72</v>
      </c>
      <c r="H14" s="15">
        <v>12200.58</v>
      </c>
      <c r="N14" s="7">
        <f t="shared" si="1"/>
        <v>134745.6</v>
      </c>
      <c r="O14" s="15">
        <v>552031</v>
      </c>
    </row>
    <row r="16" spans="1:15" ht="11.25">
      <c r="A16" s="14" t="s">
        <v>25</v>
      </c>
      <c r="B16" s="15">
        <f aca="true" t="shared" si="2" ref="B16:M16">SUM(B17:B19)</f>
        <v>353671.63</v>
      </c>
      <c r="C16" s="15">
        <f t="shared" si="2"/>
        <v>548670.36</v>
      </c>
      <c r="D16" s="15">
        <f t="shared" si="2"/>
        <v>1123.14</v>
      </c>
      <c r="E16" s="15">
        <f t="shared" si="2"/>
        <v>19050.6</v>
      </c>
      <c r="F16" s="15">
        <f t="shared" si="2"/>
        <v>30410.45</v>
      </c>
      <c r="G16" s="15">
        <f t="shared" si="2"/>
        <v>33198.64</v>
      </c>
      <c r="H16" s="15">
        <f t="shared" si="2"/>
        <v>166557.29</v>
      </c>
      <c r="I16" s="15">
        <f t="shared" si="2"/>
        <v>0</v>
      </c>
      <c r="J16" s="15">
        <f t="shared" si="2"/>
        <v>96070.13</v>
      </c>
      <c r="K16" s="15">
        <f t="shared" si="2"/>
        <v>0</v>
      </c>
      <c r="L16" s="15">
        <f t="shared" si="2"/>
        <v>0</v>
      </c>
      <c r="M16" s="15">
        <f t="shared" si="2"/>
        <v>0</v>
      </c>
      <c r="N16" s="15">
        <f>SUM(N17:N19)</f>
        <v>1248752.24</v>
      </c>
      <c r="O16" s="15">
        <f>SUM(O17:O19)</f>
        <v>1228310</v>
      </c>
    </row>
    <row r="17" spans="1:15" ht="11.25" outlineLevel="1">
      <c r="A17" s="15" t="s">
        <v>22</v>
      </c>
      <c r="B17" s="15">
        <v>348049.32</v>
      </c>
      <c r="C17" s="15">
        <v>546923.12</v>
      </c>
      <c r="D17" s="15">
        <v>1123.14</v>
      </c>
      <c r="E17" s="15">
        <v>19050.6</v>
      </c>
      <c r="F17" s="15">
        <v>30410.45</v>
      </c>
      <c r="G17" s="15">
        <v>33198.64</v>
      </c>
      <c r="H17" s="15">
        <v>166252.75</v>
      </c>
      <c r="J17" s="15">
        <v>96070.13</v>
      </c>
      <c r="N17" s="7">
        <f>SUM(B17:M17)</f>
        <v>1241078.15</v>
      </c>
      <c r="O17" s="15">
        <v>1227497</v>
      </c>
    </row>
    <row r="18" spans="1:15" ht="11.25" outlineLevel="1">
      <c r="A18" s="15" t="s">
        <v>46</v>
      </c>
      <c r="B18" s="15">
        <v>995.23</v>
      </c>
      <c r="N18" s="7">
        <f>SUM(B18:M18)</f>
        <v>995.23</v>
      </c>
      <c r="O18" s="15">
        <v>0</v>
      </c>
    </row>
    <row r="19" spans="1:15" ht="11.25" outlineLevel="1">
      <c r="A19" s="15" t="s">
        <v>38</v>
      </c>
      <c r="B19" s="15">
        <f>4627.08</f>
        <v>4627.08</v>
      </c>
      <c r="C19" s="15">
        <f>1747.24</f>
        <v>1747.24</v>
      </c>
      <c r="H19" s="15">
        <f>304.54</f>
        <v>304.54</v>
      </c>
      <c r="N19" s="7">
        <f>SUM(B19:M19)</f>
        <v>6678.86</v>
      </c>
      <c r="O19" s="15">
        <v>813</v>
      </c>
    </row>
    <row r="21" spans="1:15" ht="11.25">
      <c r="A21" s="14" t="s">
        <v>23</v>
      </c>
      <c r="B21" s="15">
        <f aca="true" t="shared" si="3" ref="B21:O21">SUM(B22:B24)</f>
        <v>3127283.3400000003</v>
      </c>
      <c r="C21" s="15">
        <f t="shared" si="3"/>
        <v>2092268.2200000002</v>
      </c>
      <c r="D21" s="15">
        <f t="shared" si="3"/>
        <v>6799.56</v>
      </c>
      <c r="E21" s="15">
        <f t="shared" si="3"/>
        <v>121118.41</v>
      </c>
      <c r="F21" s="15">
        <f t="shared" si="3"/>
        <v>6135.73</v>
      </c>
      <c r="G21" s="15">
        <f t="shared" si="3"/>
        <v>2124831.54</v>
      </c>
      <c r="H21" s="15">
        <f t="shared" si="3"/>
        <v>2878650.8200000003</v>
      </c>
      <c r="I21" s="15">
        <f t="shared" si="3"/>
        <v>368581.22</v>
      </c>
      <c r="J21" s="15">
        <f t="shared" si="3"/>
        <v>16894.02</v>
      </c>
      <c r="K21" s="15">
        <f t="shared" si="3"/>
        <v>1875</v>
      </c>
      <c r="L21" s="15">
        <f t="shared" si="3"/>
        <v>0</v>
      </c>
      <c r="M21" s="15">
        <f t="shared" si="3"/>
        <v>0</v>
      </c>
      <c r="N21" s="15">
        <f t="shared" si="3"/>
        <v>10744437.86</v>
      </c>
      <c r="O21" s="15">
        <f t="shared" si="3"/>
        <v>9340416</v>
      </c>
    </row>
    <row r="22" spans="1:15" ht="11.25" outlineLevel="1">
      <c r="A22" s="15" t="s">
        <v>22</v>
      </c>
      <c r="B22" s="15">
        <v>2781081.21</v>
      </c>
      <c r="C22" s="15">
        <v>1907583.37</v>
      </c>
      <c r="D22" s="15">
        <v>6799.56</v>
      </c>
      <c r="E22" s="15">
        <v>104363.25</v>
      </c>
      <c r="F22" s="15">
        <v>6135.73</v>
      </c>
      <c r="G22" s="15">
        <v>1805456.98</v>
      </c>
      <c r="H22" s="15">
        <v>2329905.27</v>
      </c>
      <c r="I22" s="15">
        <v>368581.22</v>
      </c>
      <c r="J22" s="15">
        <v>12206.03</v>
      </c>
      <c r="K22" s="15">
        <v>1875</v>
      </c>
      <c r="N22" s="7">
        <f>SUM(B22:M22)</f>
        <v>9323987.62</v>
      </c>
      <c r="O22" s="15">
        <v>8045724</v>
      </c>
    </row>
    <row r="23" spans="1:15" ht="11.25" outlineLevel="1">
      <c r="A23" s="15" t="s">
        <v>46</v>
      </c>
      <c r="B23" s="15">
        <v>154927.43</v>
      </c>
      <c r="G23" s="15">
        <v>63371.6</v>
      </c>
      <c r="N23" s="7">
        <f>SUM(B23:M23)</f>
        <v>218299.03</v>
      </c>
      <c r="O23" s="15">
        <v>154462</v>
      </c>
    </row>
    <row r="24" spans="1:15" ht="11.25" outlineLevel="1">
      <c r="A24" s="15" t="s">
        <v>38</v>
      </c>
      <c r="B24" s="15">
        <f>148485.51+42789.19</f>
        <v>191274.7</v>
      </c>
      <c r="C24" s="15">
        <f>184684.85</f>
        <v>184684.85</v>
      </c>
      <c r="E24" s="15">
        <f>16755.16</f>
        <v>16755.16</v>
      </c>
      <c r="G24" s="15">
        <f>256002.96</f>
        <v>256002.96</v>
      </c>
      <c r="H24" s="15">
        <f>548745.55</f>
        <v>548745.55</v>
      </c>
      <c r="J24" s="15">
        <f>4687.99</f>
        <v>4687.99</v>
      </c>
      <c r="N24" s="7">
        <f>SUM(B24:M24)</f>
        <v>1202151.2100000002</v>
      </c>
      <c r="O24" s="15">
        <v>1140230</v>
      </c>
    </row>
    <row r="26" spans="1:15" ht="11.25">
      <c r="A26" s="14" t="s">
        <v>24</v>
      </c>
      <c r="B26" s="15">
        <f aca="true" t="shared" si="4" ref="B26:M26">SUM(B27:B29)</f>
        <v>1409715.71</v>
      </c>
      <c r="C26" s="15">
        <f t="shared" si="4"/>
        <v>738301.01</v>
      </c>
      <c r="D26" s="15">
        <f t="shared" si="4"/>
        <v>9571.72</v>
      </c>
      <c r="E26" s="15">
        <f t="shared" si="4"/>
        <v>14350</v>
      </c>
      <c r="F26" s="15">
        <f t="shared" si="4"/>
        <v>447463.06</v>
      </c>
      <c r="G26" s="15">
        <f t="shared" si="4"/>
        <v>853179.0900000001</v>
      </c>
      <c r="H26" s="15">
        <f t="shared" si="4"/>
        <v>766087.21</v>
      </c>
      <c r="I26" s="15">
        <f t="shared" si="4"/>
        <v>46.65</v>
      </c>
      <c r="J26" s="15">
        <f t="shared" si="4"/>
        <v>29875.84</v>
      </c>
      <c r="K26" s="15">
        <f t="shared" si="4"/>
        <v>0</v>
      </c>
      <c r="L26" s="15">
        <f t="shared" si="4"/>
        <v>0</v>
      </c>
      <c r="M26" s="15">
        <f t="shared" si="4"/>
        <v>0</v>
      </c>
      <c r="N26" s="15">
        <f>SUM(N27:N29)</f>
        <v>4268590.29</v>
      </c>
      <c r="O26" s="15">
        <f>SUM(O27:O29)</f>
        <v>4073029</v>
      </c>
    </row>
    <row r="27" spans="1:15" ht="11.25" outlineLevel="1">
      <c r="A27" s="15" t="s">
        <v>22</v>
      </c>
      <c r="B27" s="15">
        <v>1364872.22</v>
      </c>
      <c r="C27" s="15">
        <f>733354.03+77.76</f>
        <v>733431.79</v>
      </c>
      <c r="D27" s="15">
        <v>9571.72</v>
      </c>
      <c r="E27" s="15">
        <v>14350</v>
      </c>
      <c r="F27" s="15">
        <v>419253.62</v>
      </c>
      <c r="G27" s="15">
        <f>831408.28+1719.91</f>
        <v>833128.1900000001</v>
      </c>
      <c r="H27" s="15">
        <v>727733.09</v>
      </c>
      <c r="I27" s="15">
        <v>46.65</v>
      </c>
      <c r="J27" s="15">
        <v>29875.84</v>
      </c>
      <c r="N27" s="7">
        <f>SUM(B27:M27)</f>
        <v>4132263.1199999996</v>
      </c>
      <c r="O27" s="15">
        <v>4010923</v>
      </c>
    </row>
    <row r="28" spans="1:15" ht="11.25" outlineLevel="1">
      <c r="A28" s="15" t="s">
        <v>46</v>
      </c>
      <c r="N28" s="7">
        <f>SUM(B28:M28)</f>
        <v>0</v>
      </c>
      <c r="O28" s="15">
        <v>0</v>
      </c>
    </row>
    <row r="29" spans="1:15" ht="11.25" outlineLevel="1">
      <c r="A29" s="15" t="s">
        <v>38</v>
      </c>
      <c r="B29" s="15">
        <f>44843.49</f>
        <v>44843.49</v>
      </c>
      <c r="C29" s="15">
        <f>4869.22</f>
        <v>4869.22</v>
      </c>
      <c r="F29" s="15">
        <f>28209.44</f>
        <v>28209.44</v>
      </c>
      <c r="G29" s="15">
        <f>20050.9</f>
        <v>20050.9</v>
      </c>
      <c r="H29" s="15">
        <f>38354.12</f>
        <v>38354.12</v>
      </c>
      <c r="N29" s="7">
        <f>SUM(B29:M29)</f>
        <v>136327.16999999998</v>
      </c>
      <c r="O29" s="15">
        <v>62106</v>
      </c>
    </row>
    <row r="31" spans="1:15" ht="11.25">
      <c r="A31" s="14" t="s">
        <v>27</v>
      </c>
      <c r="B31" s="15">
        <v>-75.08</v>
      </c>
      <c r="C31" s="15">
        <v>7946578</v>
      </c>
      <c r="N31" s="7">
        <f>SUM(B31:M31)</f>
        <v>7946502.92</v>
      </c>
      <c r="O31" s="15">
        <v>5809508</v>
      </c>
    </row>
    <row r="32" spans="2:15" ht="11.25">
      <c r="B32" s="21"/>
      <c r="C32" s="21"/>
      <c r="D32" s="21"/>
      <c r="E32" s="21"/>
      <c r="F32" s="21"/>
      <c r="G32" s="21"/>
      <c r="H32" s="21"/>
      <c r="I32" s="21"/>
      <c r="J32" s="21"/>
      <c r="K32" s="21"/>
      <c r="L32" s="21"/>
      <c r="M32" s="21"/>
      <c r="N32" s="21"/>
      <c r="O32" s="21"/>
    </row>
    <row r="33" spans="1:15" ht="12" thickBot="1">
      <c r="A33" s="8" t="s">
        <v>7</v>
      </c>
      <c r="B33" s="22">
        <f aca="true" t="shared" si="5" ref="B33:O33">+B31+B26+B21+B16+B8</f>
        <v>9940319.33</v>
      </c>
      <c r="C33" s="22">
        <f t="shared" si="5"/>
        <v>43973406.94</v>
      </c>
      <c r="D33" s="22">
        <f t="shared" si="5"/>
        <v>21101.64</v>
      </c>
      <c r="E33" s="22">
        <f t="shared" si="5"/>
        <v>298733.74</v>
      </c>
      <c r="F33" s="22">
        <f t="shared" si="5"/>
        <v>754416.56</v>
      </c>
      <c r="G33" s="22">
        <f t="shared" si="5"/>
        <v>6945253.15</v>
      </c>
      <c r="H33" s="22">
        <f t="shared" si="5"/>
        <v>3997590.14</v>
      </c>
      <c r="I33" s="22">
        <f t="shared" si="5"/>
        <v>548260</v>
      </c>
      <c r="J33" s="22">
        <f t="shared" si="5"/>
        <v>3116912.7700000005</v>
      </c>
      <c r="K33" s="22">
        <f t="shared" si="5"/>
        <v>1875</v>
      </c>
      <c r="L33" s="22">
        <f t="shared" si="5"/>
        <v>2492901.06</v>
      </c>
      <c r="M33" s="22">
        <f t="shared" si="5"/>
        <v>106504.78</v>
      </c>
      <c r="N33" s="22">
        <f t="shared" si="5"/>
        <v>72197275.11000001</v>
      </c>
      <c r="O33" s="22">
        <f t="shared" si="5"/>
        <v>68991624</v>
      </c>
    </row>
    <row r="34" ht="12" thickTop="1"/>
    <row r="36" spans="2:4" ht="11.25">
      <c r="B36" s="27"/>
      <c r="C36" s="12"/>
      <c r="D36" s="12"/>
    </row>
    <row r="37" spans="1:10" ht="11.25">
      <c r="A37" s="8"/>
      <c r="J37" s="8"/>
    </row>
    <row r="39" spans="2:9" ht="11.25">
      <c r="B39" s="23"/>
      <c r="C39" s="23"/>
      <c r="D39" s="23"/>
      <c r="E39" s="23"/>
      <c r="F39" s="23"/>
      <c r="G39" s="23"/>
      <c r="H39" s="23"/>
      <c r="I39" s="23"/>
    </row>
    <row r="40" spans="2:9" ht="11.25">
      <c r="B40" s="23"/>
      <c r="C40" s="23"/>
      <c r="D40" s="23"/>
      <c r="E40" s="23"/>
      <c r="F40" s="23"/>
      <c r="G40" s="23"/>
      <c r="H40" s="23"/>
      <c r="I40" s="23"/>
    </row>
    <row r="41" spans="2:9" ht="11.25">
      <c r="B41" s="23"/>
      <c r="C41" s="23"/>
      <c r="D41" s="23"/>
      <c r="E41" s="23"/>
      <c r="F41" s="23"/>
      <c r="G41" s="23"/>
      <c r="H41" s="23"/>
      <c r="I41" s="23"/>
    </row>
    <row r="42" spans="2:15" ht="11.25">
      <c r="B42" s="23"/>
      <c r="C42" s="23"/>
      <c r="D42" s="23"/>
      <c r="E42" s="23"/>
      <c r="F42" s="23"/>
      <c r="G42" s="23"/>
      <c r="H42" s="23"/>
      <c r="I42" s="23"/>
      <c r="J42" s="23"/>
      <c r="K42" s="23"/>
      <c r="L42" s="23"/>
      <c r="M42" s="23"/>
      <c r="N42" s="23"/>
      <c r="O42" s="23"/>
    </row>
    <row r="43" spans="10:15" ht="11.25">
      <c r="J43" s="23"/>
      <c r="K43" s="23"/>
      <c r="L43" s="23"/>
      <c r="M43" s="23"/>
      <c r="N43" s="23"/>
      <c r="O43" s="23"/>
    </row>
    <row r="44" spans="10:15" ht="11.25">
      <c r="J44" s="23"/>
      <c r="K44" s="23"/>
      <c r="L44" s="23"/>
      <c r="M44" s="23"/>
      <c r="N44" s="23"/>
      <c r="O44" s="23"/>
    </row>
    <row r="45" spans="10:15" ht="11.25">
      <c r="J45" s="23"/>
      <c r="K45" s="8" t="s">
        <v>49</v>
      </c>
      <c r="N45" s="28" t="s">
        <v>50</v>
      </c>
      <c r="O45" s="28" t="s">
        <v>51</v>
      </c>
    </row>
    <row r="46" spans="10:15" ht="11.25">
      <c r="J46" s="23"/>
      <c r="K46" s="8"/>
      <c r="L46" s="2"/>
      <c r="M46" s="2"/>
      <c r="N46" s="28" t="s">
        <v>52</v>
      </c>
      <c r="O46" s="28" t="s">
        <v>53</v>
      </c>
    </row>
    <row r="47" spans="10:13" ht="11.25">
      <c r="J47" s="23"/>
      <c r="K47" s="2"/>
      <c r="L47" s="2"/>
      <c r="M47" s="2"/>
    </row>
    <row r="48" spans="10:15" ht="11.25">
      <c r="J48" s="23"/>
      <c r="K48" s="2" t="s">
        <v>70</v>
      </c>
      <c r="L48" s="12"/>
      <c r="M48" s="12"/>
      <c r="N48" s="19">
        <f>N9+N10+N11+N31-N57</f>
        <v>53238402.98000001</v>
      </c>
      <c r="O48" s="15">
        <v>53238402.98</v>
      </c>
    </row>
    <row r="49" spans="10:15" ht="11.25">
      <c r="J49" s="23"/>
      <c r="K49" s="2" t="s">
        <v>71</v>
      </c>
      <c r="L49" s="12"/>
      <c r="M49" s="12"/>
      <c r="N49" s="36">
        <f>N17+N18+N22+N23+N27+N28</f>
        <v>14916623.149999999</v>
      </c>
      <c r="O49" s="21">
        <v>14916623.39</v>
      </c>
    </row>
    <row r="50" spans="10:15" ht="11.25">
      <c r="J50" s="23"/>
      <c r="K50" s="2"/>
      <c r="L50" s="12"/>
      <c r="M50" s="12"/>
      <c r="N50" s="30"/>
      <c r="O50" s="23"/>
    </row>
    <row r="51" spans="10:15" ht="12" thickBot="1">
      <c r="J51" s="23"/>
      <c r="K51" s="2" t="s">
        <v>66</v>
      </c>
      <c r="L51" s="12"/>
      <c r="M51" s="12"/>
      <c r="N51" s="37">
        <f>N48+N49</f>
        <v>68155026.13000001</v>
      </c>
      <c r="O51" s="22">
        <f>O48+O49</f>
        <v>68155026.37</v>
      </c>
    </row>
    <row r="52" spans="10:15" ht="12" thickTop="1">
      <c r="J52" s="23"/>
      <c r="K52" s="2"/>
      <c r="L52" s="12"/>
      <c r="M52" s="12"/>
      <c r="N52" s="30"/>
      <c r="O52" s="23"/>
    </row>
    <row r="53" spans="10:15" ht="11.25">
      <c r="J53" s="23"/>
      <c r="K53" s="15" t="s">
        <v>35</v>
      </c>
      <c r="L53" s="2"/>
      <c r="M53" s="2"/>
      <c r="N53" s="19">
        <f>SUM(N12)</f>
        <v>0</v>
      </c>
      <c r="O53" s="15">
        <f>SUM(N12)</f>
        <v>0</v>
      </c>
    </row>
    <row r="54" spans="10:15" ht="11.25">
      <c r="J54" s="23"/>
      <c r="K54" s="15" t="s">
        <v>36</v>
      </c>
      <c r="L54" s="2"/>
      <c r="M54" s="2"/>
      <c r="N54" s="30">
        <f>SUM(N13)</f>
        <v>2562346.14</v>
      </c>
      <c r="O54" s="23">
        <f>SUM(N13)</f>
        <v>2562346.14</v>
      </c>
    </row>
    <row r="55" spans="10:15" ht="11.25">
      <c r="J55" s="23"/>
      <c r="K55" s="15" t="s">
        <v>38</v>
      </c>
      <c r="L55" s="2"/>
      <c r="M55" s="2"/>
      <c r="N55" s="30">
        <f>N29+N19+N24</f>
        <v>1345157.2400000002</v>
      </c>
      <c r="O55" s="23">
        <f>N29+N19+N24</f>
        <v>1345157.2400000002</v>
      </c>
    </row>
    <row r="56" spans="10:15" ht="11.25">
      <c r="J56" s="23"/>
      <c r="K56" s="15" t="s">
        <v>37</v>
      </c>
      <c r="L56" s="12"/>
      <c r="M56" s="12"/>
      <c r="N56" s="30">
        <f>SUM(N14)</f>
        <v>134745.6</v>
      </c>
      <c r="O56" s="30">
        <f>SUM(N14)</f>
        <v>134745.6</v>
      </c>
    </row>
    <row r="57" spans="10:15" ht="11.25">
      <c r="J57" s="23"/>
      <c r="K57" s="2" t="s">
        <v>58</v>
      </c>
      <c r="L57" s="12"/>
      <c r="M57" s="12"/>
      <c r="N57" s="30">
        <v>0</v>
      </c>
      <c r="O57" s="30">
        <v>0</v>
      </c>
    </row>
    <row r="58" spans="10:15" ht="11.25">
      <c r="J58" s="23"/>
      <c r="K58" s="2" t="s">
        <v>59</v>
      </c>
      <c r="L58" s="12"/>
      <c r="M58" s="12"/>
      <c r="N58" s="30">
        <v>0</v>
      </c>
      <c r="O58" s="30">
        <v>0</v>
      </c>
    </row>
    <row r="59" spans="10:15" ht="11.25">
      <c r="J59" s="23"/>
      <c r="K59" s="2" t="s">
        <v>61</v>
      </c>
      <c r="L59" s="12"/>
      <c r="M59" s="12"/>
      <c r="N59" s="21">
        <v>0</v>
      </c>
      <c r="O59" s="21">
        <v>0</v>
      </c>
    </row>
    <row r="60" spans="10:13" ht="11.25">
      <c r="J60" s="23"/>
      <c r="K60" s="2"/>
      <c r="L60" s="12"/>
      <c r="M60" s="12"/>
    </row>
    <row r="61" spans="10:15" ht="12" thickBot="1">
      <c r="J61" s="23"/>
      <c r="K61" s="2" t="s">
        <v>7</v>
      </c>
      <c r="L61" s="12"/>
      <c r="M61" s="12"/>
      <c r="N61" s="22">
        <f>SUM(N51:N59)</f>
        <v>72197275.11</v>
      </c>
      <c r="O61" s="22">
        <f>SUM(O51:O59)</f>
        <v>72197275.35</v>
      </c>
    </row>
    <row r="62" spans="10:15" ht="12" thickTop="1">
      <c r="J62" s="23"/>
      <c r="N62" s="15">
        <f>+N33-N61</f>
        <v>0</v>
      </c>
      <c r="O62" s="15">
        <f>N61-O61</f>
        <v>-0.23999999463558197</v>
      </c>
    </row>
    <row r="63" spans="10:15" ht="11.25">
      <c r="J63" s="23"/>
      <c r="K63" s="23"/>
      <c r="L63" s="23"/>
      <c r="M63" s="23"/>
      <c r="N63" s="23"/>
      <c r="O63" s="23"/>
    </row>
  </sheetData>
  <sheetProtection/>
  <printOptions horizontalCentered="1" verticalCentered="1"/>
  <pageMargins left="0" right="0" top="0.5" bottom="0.5" header="0.25" footer="0.25"/>
  <pageSetup fitToHeight="1" fitToWidth="1" horizontalDpi="300" verticalDpi="300" orientation="landscape" scale="81" r:id="rId1"/>
  <headerFooter alignWithMargins="0">
    <oddHeader>&amp;L10-29-07
&amp;C&amp;F</oddHeader>
  </headerFooter>
</worksheet>
</file>

<file path=xl/worksheets/sheet5.xml><?xml version="1.0" encoding="utf-8"?>
<worksheet xmlns="http://schemas.openxmlformats.org/spreadsheetml/2006/main" xmlns:r="http://schemas.openxmlformats.org/officeDocument/2006/relationships">
  <dimension ref="A1:P117"/>
  <sheetViews>
    <sheetView tabSelected="1" zoomScalePageLayoutView="0" workbookViewId="0" topLeftCell="A1">
      <pane xSplit="1" topLeftCell="B1" activePane="topRight" state="frozen"/>
      <selection pane="topLeft" activeCell="A46" sqref="A46"/>
      <selection pane="topRight" activeCell="D116" sqref="D116"/>
    </sheetView>
  </sheetViews>
  <sheetFormatPr defaultColWidth="9.140625" defaultRowHeight="12.75" outlineLevelRow="1"/>
  <cols>
    <col min="1" max="1" width="19.00390625" style="39" customWidth="1"/>
    <col min="2" max="2" width="10.57421875" style="39" customWidth="1"/>
    <col min="3" max="3" width="9.8515625" style="39" bestFit="1" customWidth="1"/>
    <col min="4" max="4" width="10.57421875" style="39" customWidth="1"/>
    <col min="5" max="5" width="10.28125" style="39" customWidth="1"/>
    <col min="6" max="6" width="9.7109375" style="39" customWidth="1"/>
    <col min="7" max="7" width="10.57421875" style="39" customWidth="1"/>
    <col min="8" max="8" width="11.140625" style="39" customWidth="1"/>
    <col min="9" max="11" width="10.140625" style="39" customWidth="1"/>
    <col min="12" max="14" width="9.7109375" style="39" customWidth="1"/>
    <col min="15" max="15" width="11.7109375" style="39" customWidth="1"/>
    <col min="16" max="16" width="9.140625" style="42" customWidth="1"/>
    <col min="17" max="16384" width="9.140625" style="39" customWidth="1"/>
  </cols>
  <sheetData>
    <row r="1" spans="1:15" ht="11.25">
      <c r="A1" s="38" t="s">
        <v>92</v>
      </c>
      <c r="H1" s="40"/>
      <c r="O1" s="41" t="s">
        <v>74</v>
      </c>
    </row>
    <row r="2" ht="11.25">
      <c r="A2" s="38" t="s">
        <v>0</v>
      </c>
    </row>
    <row r="3" ht="11.25">
      <c r="L3" s="43"/>
    </row>
    <row r="4" spans="1:15" ht="11.25">
      <c r="A4" s="38" t="s">
        <v>75</v>
      </c>
      <c r="B4" s="44"/>
      <c r="C4" s="44"/>
      <c r="D4" s="44"/>
      <c r="E4" s="44"/>
      <c r="F4" s="44"/>
      <c r="G4" s="44"/>
      <c r="H4" s="44" t="s">
        <v>1</v>
      </c>
      <c r="I4" s="44"/>
      <c r="J4" s="44"/>
      <c r="K4" s="44"/>
      <c r="L4" s="45" t="s">
        <v>29</v>
      </c>
      <c r="M4" s="44"/>
      <c r="N4" s="44"/>
      <c r="O4" s="44" t="s">
        <v>94</v>
      </c>
    </row>
    <row r="5" spans="2:15" ht="11.25">
      <c r="B5" s="44" t="s">
        <v>2</v>
      </c>
      <c r="C5" s="44"/>
      <c r="D5" s="44" t="s">
        <v>3</v>
      </c>
      <c r="E5" s="44"/>
      <c r="F5" s="44"/>
      <c r="G5" s="44"/>
      <c r="H5" s="44" t="s">
        <v>4</v>
      </c>
      <c r="I5" s="44"/>
      <c r="J5" s="44" t="s">
        <v>5</v>
      </c>
      <c r="K5" s="44" t="s">
        <v>6</v>
      </c>
      <c r="L5" s="45" t="s">
        <v>30</v>
      </c>
      <c r="M5" s="44"/>
      <c r="N5" s="44"/>
      <c r="O5" s="44" t="s">
        <v>7</v>
      </c>
    </row>
    <row r="6" spans="2:15" ht="11.25">
      <c r="B6" s="46" t="s">
        <v>8</v>
      </c>
      <c r="C6" s="46" t="s">
        <v>9</v>
      </c>
      <c r="D6" s="46" t="s">
        <v>10</v>
      </c>
      <c r="E6" s="46" t="s">
        <v>11</v>
      </c>
      <c r="F6" s="46" t="s">
        <v>12</v>
      </c>
      <c r="G6" s="46" t="s">
        <v>13</v>
      </c>
      <c r="H6" s="46" t="s">
        <v>10</v>
      </c>
      <c r="I6" s="46" t="s">
        <v>14</v>
      </c>
      <c r="J6" s="46" t="s">
        <v>15</v>
      </c>
      <c r="K6" s="46" t="s">
        <v>16</v>
      </c>
      <c r="L6" s="47" t="s">
        <v>10</v>
      </c>
      <c r="M6" s="46" t="s">
        <v>26</v>
      </c>
      <c r="N6" s="46" t="s">
        <v>76</v>
      </c>
      <c r="O6" s="46" t="s">
        <v>8</v>
      </c>
    </row>
    <row r="7" spans="1:15" ht="11.25">
      <c r="A7" s="38" t="s">
        <v>25</v>
      </c>
      <c r="B7" s="39">
        <f aca="true" t="shared" si="0" ref="B7:N7">SUM(B8:B10)</f>
        <v>90626.58</v>
      </c>
      <c r="C7" s="39">
        <f t="shared" si="0"/>
        <v>2871181.8099999996</v>
      </c>
      <c r="D7" s="39">
        <f t="shared" si="0"/>
        <v>176421.91</v>
      </c>
      <c r="E7" s="39">
        <f t="shared" si="0"/>
        <v>0</v>
      </c>
      <c r="F7" s="39">
        <f t="shared" si="0"/>
        <v>0</v>
      </c>
      <c r="G7" s="39">
        <f t="shared" si="0"/>
        <v>442797</v>
      </c>
      <c r="H7" s="39">
        <f t="shared" si="0"/>
        <v>41309</v>
      </c>
      <c r="I7" s="39">
        <f t="shared" si="0"/>
        <v>0</v>
      </c>
      <c r="J7" s="39">
        <f t="shared" si="0"/>
        <v>219096.22</v>
      </c>
      <c r="K7" s="39">
        <f t="shared" si="0"/>
        <v>46657.68</v>
      </c>
      <c r="L7" s="39">
        <f t="shared" si="0"/>
        <v>1336514.3</v>
      </c>
      <c r="M7" s="39">
        <f t="shared" si="0"/>
        <v>-2190886.21</v>
      </c>
      <c r="N7" s="39">
        <f t="shared" si="0"/>
        <v>0</v>
      </c>
      <c r="O7" s="39">
        <f>SUM(B7:N7)</f>
        <v>3033718.29</v>
      </c>
    </row>
    <row r="8" spans="1:16" s="48" customFormat="1" ht="11.25" outlineLevel="1">
      <c r="A8" s="48" t="s">
        <v>77</v>
      </c>
      <c r="B8" s="48">
        <f>B32+B56+B79</f>
        <v>0</v>
      </c>
      <c r="C8" s="48">
        <f aca="true" t="shared" si="1" ref="C8:N8">C32+C56+C79</f>
        <v>2871181.8099999996</v>
      </c>
      <c r="D8" s="48">
        <f t="shared" si="1"/>
        <v>176421.91</v>
      </c>
      <c r="E8" s="48">
        <f t="shared" si="1"/>
        <v>0</v>
      </c>
      <c r="F8" s="48">
        <f t="shared" si="1"/>
        <v>0</v>
      </c>
      <c r="G8" s="48">
        <f t="shared" si="1"/>
        <v>139983</v>
      </c>
      <c r="H8" s="48">
        <f t="shared" si="1"/>
        <v>41309</v>
      </c>
      <c r="I8" s="48">
        <f t="shared" si="1"/>
        <v>0</v>
      </c>
      <c r="J8" s="48">
        <f t="shared" si="1"/>
        <v>219096.22</v>
      </c>
      <c r="K8" s="48">
        <f t="shared" si="1"/>
        <v>46657.68</v>
      </c>
      <c r="L8" s="48">
        <f t="shared" si="1"/>
        <v>1336514.3</v>
      </c>
      <c r="M8" s="48">
        <f t="shared" si="1"/>
        <v>-2190886.21</v>
      </c>
      <c r="N8" s="48">
        <f t="shared" si="1"/>
        <v>0</v>
      </c>
      <c r="O8" s="39">
        <f>SUM(B8:N8)</f>
        <v>2640277.71</v>
      </c>
      <c r="P8" s="49"/>
    </row>
    <row r="9" spans="1:16" s="48" customFormat="1" ht="11.25" outlineLevel="1">
      <c r="A9" s="48" t="s">
        <v>78</v>
      </c>
      <c r="B9" s="48">
        <f aca="true" t="shared" si="2" ref="B9:N10">B33+B57+B80</f>
        <v>90626.58</v>
      </c>
      <c r="C9" s="48">
        <f t="shared" si="2"/>
        <v>0</v>
      </c>
      <c r="D9" s="48">
        <f t="shared" si="2"/>
        <v>0</v>
      </c>
      <c r="E9" s="48">
        <f t="shared" si="2"/>
        <v>0</v>
      </c>
      <c r="F9" s="48">
        <f t="shared" si="2"/>
        <v>0</v>
      </c>
      <c r="G9" s="48">
        <f t="shared" si="2"/>
        <v>302814</v>
      </c>
      <c r="H9" s="48">
        <f t="shared" si="2"/>
        <v>0</v>
      </c>
      <c r="I9" s="48">
        <f t="shared" si="2"/>
        <v>0</v>
      </c>
      <c r="J9" s="48">
        <f t="shared" si="2"/>
        <v>0</v>
      </c>
      <c r="K9" s="48">
        <f t="shared" si="2"/>
        <v>0</v>
      </c>
      <c r="L9" s="48">
        <f t="shared" si="2"/>
        <v>0</v>
      </c>
      <c r="M9" s="48">
        <f t="shared" si="2"/>
        <v>0</v>
      </c>
      <c r="N9" s="48">
        <f t="shared" si="2"/>
        <v>0</v>
      </c>
      <c r="O9" s="39">
        <f>SUM(B9:N9)</f>
        <v>393440.58</v>
      </c>
      <c r="P9" s="49"/>
    </row>
    <row r="10" spans="1:16" s="48" customFormat="1" ht="11.25" outlineLevel="1">
      <c r="A10" s="48" t="s">
        <v>79</v>
      </c>
      <c r="B10" s="48">
        <f t="shared" si="2"/>
        <v>0</v>
      </c>
      <c r="C10" s="48">
        <f t="shared" si="2"/>
        <v>0</v>
      </c>
      <c r="D10" s="48">
        <f t="shared" si="2"/>
        <v>0</v>
      </c>
      <c r="E10" s="48">
        <f t="shared" si="2"/>
        <v>0</v>
      </c>
      <c r="F10" s="48">
        <f t="shared" si="2"/>
        <v>0</v>
      </c>
      <c r="G10" s="48">
        <f t="shared" si="2"/>
        <v>0</v>
      </c>
      <c r="H10" s="48">
        <f t="shared" si="2"/>
        <v>0</v>
      </c>
      <c r="I10" s="48">
        <f t="shared" si="2"/>
        <v>0</v>
      </c>
      <c r="J10" s="48">
        <f t="shared" si="2"/>
        <v>0</v>
      </c>
      <c r="K10" s="48">
        <f t="shared" si="2"/>
        <v>0</v>
      </c>
      <c r="L10" s="48">
        <f t="shared" si="2"/>
        <v>0</v>
      </c>
      <c r="M10" s="48">
        <f t="shared" si="2"/>
        <v>0</v>
      </c>
      <c r="N10" s="48">
        <f t="shared" si="2"/>
        <v>0</v>
      </c>
      <c r="O10" s="39">
        <f>SUM(B10:N10)</f>
        <v>0</v>
      </c>
      <c r="P10" s="49"/>
    </row>
    <row r="12" spans="1:15" ht="11.25">
      <c r="A12" s="38" t="s">
        <v>23</v>
      </c>
      <c r="B12" s="39">
        <f>SUM(B13:B13)</f>
        <v>0</v>
      </c>
      <c r="C12" s="39">
        <f>SUM(C13:C14)</f>
        <v>0</v>
      </c>
      <c r="D12" s="39">
        <f>SUM(D13:D13)</f>
        <v>0</v>
      </c>
      <c r="E12" s="39">
        <f>SUM(E13:E13)</f>
        <v>0</v>
      </c>
      <c r="F12" s="39">
        <f>SUM(F13:F13)</f>
        <v>0</v>
      </c>
      <c r="G12" s="39">
        <f>SUM(G13:G14)</f>
        <v>0</v>
      </c>
      <c r="H12" s="39">
        <f>SUM(H13:H13)</f>
        <v>0</v>
      </c>
      <c r="I12" s="39">
        <f>SUM(I13:I14)</f>
        <v>0</v>
      </c>
      <c r="J12" s="39">
        <f>SUM(J13:J13)</f>
        <v>0</v>
      </c>
      <c r="K12" s="39">
        <f>SUM(K13:K13)</f>
        <v>0</v>
      </c>
      <c r="L12" s="39">
        <f>SUM(L13:L14)</f>
        <v>0</v>
      </c>
      <c r="M12" s="39">
        <f>SUM(M13:M13)</f>
        <v>0</v>
      </c>
      <c r="N12" s="39">
        <f>SUM(N13:N15)</f>
        <v>0</v>
      </c>
      <c r="O12" s="39">
        <f>SUM(B12:N12)</f>
        <v>0</v>
      </c>
    </row>
    <row r="13" spans="1:16" s="48" customFormat="1" ht="11.25" outlineLevel="1">
      <c r="A13" s="48" t="s">
        <v>77</v>
      </c>
      <c r="B13" s="48">
        <f aca="true" t="shared" si="3" ref="B13:N15">B37+B61+B84</f>
        <v>0</v>
      </c>
      <c r="C13" s="48">
        <f t="shared" si="3"/>
        <v>0</v>
      </c>
      <c r="D13" s="48">
        <f t="shared" si="3"/>
        <v>0</v>
      </c>
      <c r="E13" s="48">
        <f t="shared" si="3"/>
        <v>0</v>
      </c>
      <c r="F13" s="48">
        <f t="shared" si="3"/>
        <v>0</v>
      </c>
      <c r="G13" s="48">
        <f t="shared" si="3"/>
        <v>0</v>
      </c>
      <c r="H13" s="48">
        <f t="shared" si="3"/>
        <v>0</v>
      </c>
      <c r="I13" s="48">
        <f t="shared" si="3"/>
        <v>0</v>
      </c>
      <c r="J13" s="48">
        <f t="shared" si="3"/>
        <v>0</v>
      </c>
      <c r="K13" s="48">
        <f t="shared" si="3"/>
        <v>0</v>
      </c>
      <c r="L13" s="48">
        <f t="shared" si="3"/>
        <v>0</v>
      </c>
      <c r="M13" s="48">
        <f t="shared" si="3"/>
        <v>0</v>
      </c>
      <c r="N13" s="48">
        <f t="shared" si="3"/>
        <v>0</v>
      </c>
      <c r="O13" s="39">
        <f>SUM(B13:N13)</f>
        <v>0</v>
      </c>
      <c r="P13" s="49"/>
    </row>
    <row r="14" spans="1:16" s="48" customFormat="1" ht="11.25" outlineLevel="1">
      <c r="A14" s="48" t="s">
        <v>79</v>
      </c>
      <c r="B14" s="48">
        <f t="shared" si="3"/>
        <v>0</v>
      </c>
      <c r="C14" s="48">
        <f t="shared" si="3"/>
        <v>0</v>
      </c>
      <c r="D14" s="48">
        <f t="shared" si="3"/>
        <v>0</v>
      </c>
      <c r="E14" s="48">
        <f t="shared" si="3"/>
        <v>0</v>
      </c>
      <c r="F14" s="48">
        <f t="shared" si="3"/>
        <v>0</v>
      </c>
      <c r="G14" s="48">
        <f t="shared" si="3"/>
        <v>0</v>
      </c>
      <c r="H14" s="48">
        <f t="shared" si="3"/>
        <v>0</v>
      </c>
      <c r="I14" s="48">
        <f t="shared" si="3"/>
        <v>0</v>
      </c>
      <c r="J14" s="48">
        <f t="shared" si="3"/>
        <v>0</v>
      </c>
      <c r="K14" s="48">
        <f t="shared" si="3"/>
        <v>0</v>
      </c>
      <c r="L14" s="48">
        <f t="shared" si="3"/>
        <v>0</v>
      </c>
      <c r="M14" s="48">
        <f t="shared" si="3"/>
        <v>0</v>
      </c>
      <c r="N14" s="48">
        <f t="shared" si="3"/>
        <v>0</v>
      </c>
      <c r="O14" s="39">
        <f>SUM(B14:N14)</f>
        <v>0</v>
      </c>
      <c r="P14" s="49"/>
    </row>
    <row r="15" spans="1:16" s="48" customFormat="1" ht="11.25" outlineLevel="1">
      <c r="A15" s="48" t="s">
        <v>80</v>
      </c>
      <c r="B15" s="48">
        <f t="shared" si="3"/>
        <v>0</v>
      </c>
      <c r="C15" s="48">
        <f t="shared" si="3"/>
        <v>0</v>
      </c>
      <c r="D15" s="48">
        <f t="shared" si="3"/>
        <v>0</v>
      </c>
      <c r="E15" s="48">
        <f t="shared" si="3"/>
        <v>0</v>
      </c>
      <c r="F15" s="48">
        <f t="shared" si="3"/>
        <v>0</v>
      </c>
      <c r="G15" s="48">
        <f t="shared" si="3"/>
        <v>0</v>
      </c>
      <c r="H15" s="48">
        <f t="shared" si="3"/>
        <v>0</v>
      </c>
      <c r="I15" s="48">
        <f t="shared" si="3"/>
        <v>0</v>
      </c>
      <c r="J15" s="48">
        <f t="shared" si="3"/>
        <v>0</v>
      </c>
      <c r="K15" s="48">
        <f t="shared" si="3"/>
        <v>0</v>
      </c>
      <c r="L15" s="48">
        <f t="shared" si="3"/>
        <v>0</v>
      </c>
      <c r="M15" s="48">
        <f t="shared" si="3"/>
        <v>0</v>
      </c>
      <c r="N15" s="48">
        <f t="shared" si="3"/>
        <v>0</v>
      </c>
      <c r="O15" s="39">
        <f>SUM(B15:N15)</f>
        <v>0</v>
      </c>
      <c r="P15" s="49"/>
    </row>
    <row r="17" spans="1:15" ht="11.25">
      <c r="A17" s="38" t="s">
        <v>24</v>
      </c>
      <c r="B17" s="39">
        <f aca="true" t="shared" si="4" ref="B17:N17">SUM(B18:B19)</f>
        <v>3285332.48</v>
      </c>
      <c r="C17" s="39">
        <f t="shared" si="4"/>
        <v>2140308.5</v>
      </c>
      <c r="D17" s="39">
        <f t="shared" si="4"/>
        <v>28304.75</v>
      </c>
      <c r="E17" s="39">
        <f t="shared" si="4"/>
        <v>0</v>
      </c>
      <c r="F17" s="39">
        <f t="shared" si="4"/>
        <v>794700</v>
      </c>
      <c r="G17" s="39">
        <f t="shared" si="4"/>
        <v>52631.84</v>
      </c>
      <c r="H17" s="39">
        <f t="shared" si="4"/>
        <v>0</v>
      </c>
      <c r="I17" s="39">
        <f t="shared" si="4"/>
        <v>0</v>
      </c>
      <c r="J17" s="39">
        <f t="shared" si="4"/>
        <v>126693.76999999999</v>
      </c>
      <c r="K17" s="39">
        <f t="shared" si="4"/>
        <v>1262704.56</v>
      </c>
      <c r="L17" s="39">
        <f t="shared" si="4"/>
        <v>6916628.19</v>
      </c>
      <c r="M17" s="39">
        <f t="shared" si="4"/>
        <v>3067306.0400000005</v>
      </c>
      <c r="N17" s="39">
        <f t="shared" si="4"/>
        <v>0</v>
      </c>
      <c r="O17" s="39">
        <f>SUM(B17:N17)</f>
        <v>17674610.13</v>
      </c>
    </row>
    <row r="18" spans="1:16" s="48" customFormat="1" ht="11.25" outlineLevel="1">
      <c r="A18" s="48" t="s">
        <v>77</v>
      </c>
      <c r="B18" s="48">
        <f>B42+B65+B88</f>
        <v>3285332.48</v>
      </c>
      <c r="C18" s="48">
        <f aca="true" t="shared" si="5" ref="C18:N18">C42+C65+C88</f>
        <v>2140308.5</v>
      </c>
      <c r="D18" s="48">
        <f t="shared" si="5"/>
        <v>28304.75</v>
      </c>
      <c r="E18" s="48">
        <f t="shared" si="5"/>
        <v>0</v>
      </c>
      <c r="F18" s="48">
        <f t="shared" si="5"/>
        <v>794700</v>
      </c>
      <c r="G18" s="48">
        <f t="shared" si="5"/>
        <v>52631.84</v>
      </c>
      <c r="H18" s="48">
        <f t="shared" si="5"/>
        <v>0</v>
      </c>
      <c r="I18" s="48">
        <f t="shared" si="5"/>
        <v>0</v>
      </c>
      <c r="J18" s="48">
        <f t="shared" si="5"/>
        <v>126693.76999999999</v>
      </c>
      <c r="K18" s="48">
        <f t="shared" si="5"/>
        <v>1262704.56</v>
      </c>
      <c r="L18" s="48">
        <f t="shared" si="5"/>
        <v>6916628.19</v>
      </c>
      <c r="M18" s="48">
        <f t="shared" si="5"/>
        <v>3067306.0400000005</v>
      </c>
      <c r="N18" s="48">
        <f t="shared" si="5"/>
        <v>0</v>
      </c>
      <c r="O18" s="39">
        <f>SUM(B18:N18)</f>
        <v>17674610.13</v>
      </c>
      <c r="P18" s="49"/>
    </row>
    <row r="19" spans="1:16" s="48" customFormat="1" ht="11.25" outlineLevel="1">
      <c r="A19" s="48" t="s">
        <v>79</v>
      </c>
      <c r="B19" s="48">
        <f>B43+B66+B89</f>
        <v>0</v>
      </c>
      <c r="C19" s="48">
        <f aca="true" t="shared" si="6" ref="C19:N19">C43+C66+C89</f>
        <v>0</v>
      </c>
      <c r="D19" s="48">
        <f t="shared" si="6"/>
        <v>0</v>
      </c>
      <c r="E19" s="48">
        <f t="shared" si="6"/>
        <v>0</v>
      </c>
      <c r="F19" s="48">
        <f t="shared" si="6"/>
        <v>0</v>
      </c>
      <c r="G19" s="48">
        <f t="shared" si="6"/>
        <v>0</v>
      </c>
      <c r="H19" s="48">
        <f t="shared" si="6"/>
        <v>0</v>
      </c>
      <c r="I19" s="48">
        <f t="shared" si="6"/>
        <v>0</v>
      </c>
      <c r="J19" s="48">
        <f t="shared" si="6"/>
        <v>0</v>
      </c>
      <c r="K19" s="48">
        <f t="shared" si="6"/>
        <v>0</v>
      </c>
      <c r="L19" s="48">
        <f t="shared" si="6"/>
        <v>0</v>
      </c>
      <c r="M19" s="48">
        <f t="shared" si="6"/>
        <v>0</v>
      </c>
      <c r="N19" s="48">
        <f t="shared" si="6"/>
        <v>0</v>
      </c>
      <c r="O19" s="39">
        <f>SUM(B19:N19)</f>
        <v>0</v>
      </c>
      <c r="P19" s="49"/>
    </row>
    <row r="20" spans="2:15" ht="11.25">
      <c r="B20" s="50"/>
      <c r="C20" s="50"/>
      <c r="D20" s="50"/>
      <c r="E20" s="50"/>
      <c r="F20" s="50"/>
      <c r="G20" s="50"/>
      <c r="H20" s="50"/>
      <c r="I20" s="50"/>
      <c r="J20" s="50"/>
      <c r="K20" s="50"/>
      <c r="L20" s="50"/>
      <c r="M20" s="50"/>
      <c r="N20" s="50"/>
      <c r="O20" s="50"/>
    </row>
    <row r="21" spans="1:15" ht="12" thickBot="1">
      <c r="A21" s="38" t="s">
        <v>7</v>
      </c>
      <c r="B21" s="51">
        <f aca="true" t="shared" si="7" ref="B21:N21">B17+B12+B7</f>
        <v>3375959.06</v>
      </c>
      <c r="C21" s="51">
        <f t="shared" si="7"/>
        <v>5011490.31</v>
      </c>
      <c r="D21" s="51">
        <f t="shared" si="7"/>
        <v>204726.66</v>
      </c>
      <c r="E21" s="51">
        <f t="shared" si="7"/>
        <v>0</v>
      </c>
      <c r="F21" s="51">
        <f t="shared" si="7"/>
        <v>794700</v>
      </c>
      <c r="G21" s="51">
        <f t="shared" si="7"/>
        <v>495428.83999999997</v>
      </c>
      <c r="H21" s="51">
        <f t="shared" si="7"/>
        <v>41309</v>
      </c>
      <c r="I21" s="51">
        <f t="shared" si="7"/>
        <v>0</v>
      </c>
      <c r="J21" s="51">
        <f t="shared" si="7"/>
        <v>345789.99</v>
      </c>
      <c r="K21" s="51">
        <f t="shared" si="7"/>
        <v>1309362.24</v>
      </c>
      <c r="L21" s="51">
        <f t="shared" si="7"/>
        <v>8253142.49</v>
      </c>
      <c r="M21" s="51">
        <f t="shared" si="7"/>
        <v>876419.8300000005</v>
      </c>
      <c r="N21" s="51">
        <f t="shared" si="7"/>
        <v>0</v>
      </c>
      <c r="O21" s="52">
        <f>SUM(B21:N21)</f>
        <v>20708328.42</v>
      </c>
    </row>
    <row r="22" ht="12" thickTop="1"/>
    <row r="24" ht="11.25">
      <c r="A24" s="38"/>
    </row>
    <row r="25" spans="1:15" ht="11.25">
      <c r="A25" s="38" t="s">
        <v>92</v>
      </c>
      <c r="H25" s="40"/>
      <c r="O25" s="41" t="s">
        <v>81</v>
      </c>
    </row>
    <row r="26" ht="11.25">
      <c r="A26" s="38" t="s">
        <v>82</v>
      </c>
    </row>
    <row r="27" ht="11.25">
      <c r="L27" s="43"/>
    </row>
    <row r="28" spans="1:15" ht="11.25">
      <c r="A28" s="38" t="s">
        <v>83</v>
      </c>
      <c r="B28" s="44"/>
      <c r="C28" s="44"/>
      <c r="D28" s="44"/>
      <c r="E28" s="44"/>
      <c r="F28" s="44"/>
      <c r="G28" s="44"/>
      <c r="H28" s="44" t="s">
        <v>1</v>
      </c>
      <c r="I28" s="44"/>
      <c r="J28" s="44"/>
      <c r="K28" s="44"/>
      <c r="L28" s="45" t="s">
        <v>29</v>
      </c>
      <c r="M28" s="44"/>
      <c r="N28" s="44"/>
      <c r="O28" s="44" t="s">
        <v>94</v>
      </c>
    </row>
    <row r="29" spans="2:15" ht="11.25">
      <c r="B29" s="44" t="s">
        <v>2</v>
      </c>
      <c r="C29" s="44"/>
      <c r="D29" s="44" t="s">
        <v>3</v>
      </c>
      <c r="E29" s="44"/>
      <c r="F29" s="44"/>
      <c r="G29" s="44"/>
      <c r="H29" s="44" t="s">
        <v>4</v>
      </c>
      <c r="I29" s="44"/>
      <c r="J29" s="44" t="s">
        <v>5</v>
      </c>
      <c r="K29" s="44" t="s">
        <v>6</v>
      </c>
      <c r="L29" s="45" t="s">
        <v>30</v>
      </c>
      <c r="M29" s="44"/>
      <c r="N29" s="44"/>
      <c r="O29" s="44" t="s">
        <v>7</v>
      </c>
    </row>
    <row r="30" spans="2:15" ht="11.25">
      <c r="B30" s="46" t="s">
        <v>8</v>
      </c>
      <c r="C30" s="46" t="s">
        <v>9</v>
      </c>
      <c r="D30" s="46" t="s">
        <v>10</v>
      </c>
      <c r="E30" s="46" t="s">
        <v>11</v>
      </c>
      <c r="F30" s="46" t="s">
        <v>12</v>
      </c>
      <c r="G30" s="46" t="s">
        <v>13</v>
      </c>
      <c r="H30" s="46" t="s">
        <v>10</v>
      </c>
      <c r="I30" s="46" t="s">
        <v>14</v>
      </c>
      <c r="J30" s="46" t="s">
        <v>15</v>
      </c>
      <c r="K30" s="46" t="s">
        <v>16</v>
      </c>
      <c r="L30" s="47" t="s">
        <v>10</v>
      </c>
      <c r="M30" s="46" t="s">
        <v>26</v>
      </c>
      <c r="N30" s="46" t="s">
        <v>76</v>
      </c>
      <c r="O30" s="46" t="s">
        <v>8</v>
      </c>
    </row>
    <row r="31" spans="1:15" ht="11.25">
      <c r="A31" s="38" t="s">
        <v>25</v>
      </c>
      <c r="B31" s="39">
        <f aca="true" t="shared" si="8" ref="B31:N31">SUM(B32:B34)</f>
        <v>90626.58</v>
      </c>
      <c r="C31" s="39">
        <f t="shared" si="8"/>
        <v>2838580.07</v>
      </c>
      <c r="D31" s="39">
        <f t="shared" si="8"/>
        <v>176421.91</v>
      </c>
      <c r="E31" s="39">
        <f t="shared" si="8"/>
        <v>0</v>
      </c>
      <c r="F31" s="39">
        <f t="shared" si="8"/>
        <v>0</v>
      </c>
      <c r="G31" s="39">
        <f t="shared" si="8"/>
        <v>406964</v>
      </c>
      <c r="H31" s="39">
        <f t="shared" si="8"/>
        <v>0</v>
      </c>
      <c r="I31" s="39">
        <f t="shared" si="8"/>
        <v>0</v>
      </c>
      <c r="J31" s="39">
        <f t="shared" si="8"/>
        <v>0</v>
      </c>
      <c r="K31" s="39">
        <f t="shared" si="8"/>
        <v>0</v>
      </c>
      <c r="L31" s="39">
        <f t="shared" si="8"/>
        <v>211602.87</v>
      </c>
      <c r="M31" s="39">
        <f t="shared" si="8"/>
        <v>-951562.19</v>
      </c>
      <c r="N31" s="39">
        <f t="shared" si="8"/>
        <v>0</v>
      </c>
      <c r="O31" s="39">
        <f>SUM(B31:N31)</f>
        <v>2772633.24</v>
      </c>
    </row>
    <row r="32" spans="1:16" s="48" customFormat="1" ht="11.25" outlineLevel="1">
      <c r="A32" s="48" t="s">
        <v>77</v>
      </c>
      <c r="C32" s="48">
        <v>2838580.07</v>
      </c>
      <c r="D32" s="48">
        <v>176421.91</v>
      </c>
      <c r="G32" s="48">
        <v>139983</v>
      </c>
      <c r="L32" s="48">
        <v>211602.87</v>
      </c>
      <c r="M32" s="48">
        <v>-951562.19</v>
      </c>
      <c r="O32" s="39">
        <f>SUM(B32:N32)</f>
        <v>2415025.66</v>
      </c>
      <c r="P32" s="49"/>
    </row>
    <row r="33" spans="1:16" s="48" customFormat="1" ht="11.25" outlineLevel="1">
      <c r="A33" s="48" t="s">
        <v>78</v>
      </c>
      <c r="B33" s="48">
        <v>90626.58</v>
      </c>
      <c r="G33" s="48">
        <v>266981</v>
      </c>
      <c r="O33" s="39">
        <f>SUM(B33:N33)</f>
        <v>357607.58</v>
      </c>
      <c r="P33" s="49"/>
    </row>
    <row r="34" spans="1:16" s="48" customFormat="1" ht="11.25" outlineLevel="1">
      <c r="A34" s="48" t="s">
        <v>79</v>
      </c>
      <c r="O34" s="39">
        <f>SUM(B34:N34)</f>
        <v>0</v>
      </c>
      <c r="P34" s="49"/>
    </row>
    <row r="36" spans="1:15" ht="11.25">
      <c r="A36" s="38" t="s">
        <v>23</v>
      </c>
      <c r="B36" s="39">
        <f>SUM(B37:B37)</f>
        <v>0</v>
      </c>
      <c r="C36" s="39">
        <f>SUM(C37:C38)</f>
        <v>0</v>
      </c>
      <c r="D36" s="39">
        <f>SUM(D37:D37)</f>
        <v>0</v>
      </c>
      <c r="E36" s="39">
        <f>SUM(E37:E37)</f>
        <v>0</v>
      </c>
      <c r="F36" s="39">
        <f>SUM(F37:F37)</f>
        <v>0</v>
      </c>
      <c r="G36" s="39">
        <f>SUM(G37:G38)</f>
        <v>0</v>
      </c>
      <c r="H36" s="39">
        <f aca="true" t="shared" si="9" ref="H36:M36">SUM(H37:H37)</f>
        <v>0</v>
      </c>
      <c r="I36" s="39">
        <f t="shared" si="9"/>
        <v>0</v>
      </c>
      <c r="J36" s="39">
        <f t="shared" si="9"/>
        <v>0</v>
      </c>
      <c r="K36" s="39">
        <f t="shared" si="9"/>
        <v>0</v>
      </c>
      <c r="L36" s="39">
        <f t="shared" si="9"/>
        <v>0</v>
      </c>
      <c r="M36" s="39">
        <f t="shared" si="9"/>
        <v>0</v>
      </c>
      <c r="N36" s="39">
        <f>SUM(N37:N39)</f>
        <v>0</v>
      </c>
      <c r="O36" s="39">
        <f>SUM(B36:N36)</f>
        <v>0</v>
      </c>
    </row>
    <row r="37" spans="1:16" s="48" customFormat="1" ht="11.25" outlineLevel="1">
      <c r="A37" s="48" t="s">
        <v>77</v>
      </c>
      <c r="O37" s="39">
        <f>SUM(B37:N37)</f>
        <v>0</v>
      </c>
      <c r="P37" s="49"/>
    </row>
    <row r="38" spans="1:16" s="48" customFormat="1" ht="11.25" outlineLevel="1">
      <c r="A38" s="48" t="s">
        <v>79</v>
      </c>
      <c r="O38" s="39">
        <f>SUM(B38:N38)</f>
        <v>0</v>
      </c>
      <c r="P38" s="49"/>
    </row>
    <row r="39" spans="1:16" s="48" customFormat="1" ht="11.25" outlineLevel="1">
      <c r="A39" s="48" t="s">
        <v>80</v>
      </c>
      <c r="O39" s="39">
        <f>SUM(B39:N39)</f>
        <v>0</v>
      </c>
      <c r="P39" s="49"/>
    </row>
    <row r="41" spans="1:15" ht="11.25">
      <c r="A41" s="38" t="s">
        <v>24</v>
      </c>
      <c r="B41" s="39">
        <f aca="true" t="shared" si="10" ref="B41:N41">SUM(B42:B43)</f>
        <v>2633296.38</v>
      </c>
      <c r="C41" s="39">
        <f t="shared" si="10"/>
        <v>2011904.73</v>
      </c>
      <c r="D41" s="39">
        <f t="shared" si="10"/>
        <v>2205.54</v>
      </c>
      <c r="E41" s="39">
        <f t="shared" si="10"/>
        <v>0</v>
      </c>
      <c r="F41" s="39">
        <f t="shared" si="10"/>
        <v>0</v>
      </c>
      <c r="G41" s="39">
        <f t="shared" si="10"/>
        <v>5986.4</v>
      </c>
      <c r="H41" s="39">
        <f t="shared" si="10"/>
        <v>0</v>
      </c>
      <c r="I41" s="39">
        <f t="shared" si="10"/>
        <v>0</v>
      </c>
      <c r="J41" s="39">
        <f t="shared" si="10"/>
        <v>0</v>
      </c>
      <c r="K41" s="39">
        <f t="shared" si="10"/>
        <v>0</v>
      </c>
      <c r="L41" s="39">
        <f t="shared" si="10"/>
        <v>894837.28</v>
      </c>
      <c r="M41" s="39">
        <f t="shared" si="10"/>
        <v>1371719.12</v>
      </c>
      <c r="N41" s="39">
        <f t="shared" si="10"/>
        <v>0</v>
      </c>
      <c r="O41" s="39">
        <f>SUM(B41:N41)</f>
        <v>6919949.45</v>
      </c>
    </row>
    <row r="42" spans="1:16" s="48" customFormat="1" ht="11.25" outlineLevel="1">
      <c r="A42" s="48" t="s">
        <v>77</v>
      </c>
      <c r="B42" s="48">
        <f>2633296.38</f>
        <v>2633296.38</v>
      </c>
      <c r="C42" s="48">
        <v>2011904.73</v>
      </c>
      <c r="D42" s="48">
        <v>2205.54</v>
      </c>
      <c r="G42" s="48">
        <f>5986.4</f>
        <v>5986.4</v>
      </c>
      <c r="L42" s="48">
        <v>894837.28</v>
      </c>
      <c r="M42" s="48">
        <v>1371719.12</v>
      </c>
      <c r="O42" s="39">
        <f>SUM(B42:N42)</f>
        <v>6919949.45</v>
      </c>
      <c r="P42" s="49"/>
    </row>
    <row r="43" spans="1:16" s="48" customFormat="1" ht="11.25" outlineLevel="1">
      <c r="A43" s="48" t="s">
        <v>79</v>
      </c>
      <c r="O43" s="39">
        <f>SUM(B43:N43)</f>
        <v>0</v>
      </c>
      <c r="P43" s="49"/>
    </row>
    <row r="44" spans="2:15" ht="11.25">
      <c r="B44" s="50"/>
      <c r="C44" s="50"/>
      <c r="D44" s="50"/>
      <c r="E44" s="50"/>
      <c r="F44" s="50"/>
      <c r="G44" s="50"/>
      <c r="H44" s="50"/>
      <c r="I44" s="50"/>
      <c r="J44" s="50"/>
      <c r="K44" s="50"/>
      <c r="L44" s="50"/>
      <c r="M44" s="50"/>
      <c r="N44" s="50"/>
      <c r="O44" s="50"/>
    </row>
    <row r="45" spans="1:15" ht="12" thickBot="1">
      <c r="A45" s="38" t="s">
        <v>7</v>
      </c>
      <c r="B45" s="51">
        <f aca="true" t="shared" si="11" ref="B45:N45">B41+B36+B31</f>
        <v>2723922.96</v>
      </c>
      <c r="C45" s="51">
        <f t="shared" si="11"/>
        <v>4850484.8</v>
      </c>
      <c r="D45" s="51">
        <f t="shared" si="11"/>
        <v>178627.45</v>
      </c>
      <c r="E45" s="51">
        <f t="shared" si="11"/>
        <v>0</v>
      </c>
      <c r="F45" s="51">
        <f t="shared" si="11"/>
        <v>0</v>
      </c>
      <c r="G45" s="51">
        <f t="shared" si="11"/>
        <v>412950.4</v>
      </c>
      <c r="H45" s="51">
        <f t="shared" si="11"/>
        <v>0</v>
      </c>
      <c r="I45" s="51">
        <f t="shared" si="11"/>
        <v>0</v>
      </c>
      <c r="J45" s="51">
        <f t="shared" si="11"/>
        <v>0</v>
      </c>
      <c r="K45" s="51">
        <f t="shared" si="11"/>
        <v>0</v>
      </c>
      <c r="L45" s="51">
        <f t="shared" si="11"/>
        <v>1106440.15</v>
      </c>
      <c r="M45" s="51">
        <f t="shared" si="11"/>
        <v>420156.93000000017</v>
      </c>
      <c r="N45" s="51">
        <f t="shared" si="11"/>
        <v>0</v>
      </c>
      <c r="O45" s="52">
        <f>SUM(B45:N45)</f>
        <v>9692582.69</v>
      </c>
    </row>
    <row r="46" spans="2:15" ht="12" thickTop="1">
      <c r="B46" s="43"/>
      <c r="C46" s="43"/>
      <c r="D46" s="43"/>
      <c r="E46" s="43"/>
      <c r="F46" s="43"/>
      <c r="G46" s="43"/>
      <c r="H46" s="43"/>
      <c r="I46" s="43"/>
      <c r="J46" s="43"/>
      <c r="O46" s="43"/>
    </row>
    <row r="47" spans="2:15" ht="11.25">
      <c r="B47" s="43"/>
      <c r="C47" s="43"/>
      <c r="D47" s="43"/>
      <c r="E47" s="43"/>
      <c r="F47" s="43"/>
      <c r="G47" s="43"/>
      <c r="H47" s="43"/>
      <c r="I47" s="43"/>
      <c r="J47" s="43"/>
      <c r="O47" s="43"/>
    </row>
    <row r="48" spans="2:15" ht="11.25">
      <c r="B48" s="43"/>
      <c r="C48" s="43"/>
      <c r="D48" s="43"/>
      <c r="E48" s="43"/>
      <c r="F48" s="43"/>
      <c r="G48" s="43"/>
      <c r="H48" s="43"/>
      <c r="I48" s="43"/>
      <c r="J48" s="43"/>
      <c r="L48" s="43"/>
      <c r="M48" s="43"/>
      <c r="N48" s="43"/>
      <c r="O48" s="43"/>
    </row>
    <row r="49" spans="1:15" ht="11.25">
      <c r="A49" s="38" t="s">
        <v>92</v>
      </c>
      <c r="H49" s="40"/>
      <c r="O49" s="41" t="s">
        <v>84</v>
      </c>
    </row>
    <row r="50" ht="11.25">
      <c r="A50" s="38" t="s">
        <v>32</v>
      </c>
    </row>
    <row r="51" ht="11.25">
      <c r="L51" s="43"/>
    </row>
    <row r="52" spans="1:15" ht="11.25">
      <c r="A52" s="38" t="s">
        <v>85</v>
      </c>
      <c r="B52" s="44"/>
      <c r="C52" s="44"/>
      <c r="D52" s="44"/>
      <c r="E52" s="44"/>
      <c r="F52" s="44"/>
      <c r="G52" s="44"/>
      <c r="H52" s="44" t="s">
        <v>1</v>
      </c>
      <c r="I52" s="44"/>
      <c r="J52" s="44"/>
      <c r="K52" s="44"/>
      <c r="L52" s="45" t="s">
        <v>29</v>
      </c>
      <c r="M52" s="44"/>
      <c r="N52" s="44"/>
      <c r="O52" s="44" t="s">
        <v>94</v>
      </c>
    </row>
    <row r="53" spans="2:15" ht="11.25">
      <c r="B53" s="44" t="s">
        <v>2</v>
      </c>
      <c r="C53" s="44"/>
      <c r="D53" s="44" t="s">
        <v>3</v>
      </c>
      <c r="E53" s="44"/>
      <c r="F53" s="44"/>
      <c r="G53" s="44"/>
      <c r="H53" s="44" t="s">
        <v>4</v>
      </c>
      <c r="I53" s="44"/>
      <c r="J53" s="44" t="s">
        <v>5</v>
      </c>
      <c r="K53" s="44" t="s">
        <v>6</v>
      </c>
      <c r="L53" s="45" t="s">
        <v>30</v>
      </c>
      <c r="M53" s="44"/>
      <c r="N53" s="44"/>
      <c r="O53" s="44" t="s">
        <v>7</v>
      </c>
    </row>
    <row r="54" spans="2:15" ht="11.25">
      <c r="B54" s="46" t="s">
        <v>8</v>
      </c>
      <c r="C54" s="46" t="s">
        <v>9</v>
      </c>
      <c r="D54" s="46" t="s">
        <v>10</v>
      </c>
      <c r="E54" s="46" t="s">
        <v>11</v>
      </c>
      <c r="F54" s="46" t="s">
        <v>12</v>
      </c>
      <c r="G54" s="46" t="s">
        <v>13</v>
      </c>
      <c r="H54" s="46" t="s">
        <v>10</v>
      </c>
      <c r="I54" s="46" t="s">
        <v>14</v>
      </c>
      <c r="J54" s="46" t="s">
        <v>15</v>
      </c>
      <c r="K54" s="46" t="s">
        <v>16</v>
      </c>
      <c r="L54" s="47" t="s">
        <v>10</v>
      </c>
      <c r="M54" s="46" t="s">
        <v>26</v>
      </c>
      <c r="N54" s="46" t="s">
        <v>76</v>
      </c>
      <c r="O54" s="46" t="s">
        <v>8</v>
      </c>
    </row>
    <row r="55" spans="1:15" ht="11.25">
      <c r="A55" s="38" t="s">
        <v>25</v>
      </c>
      <c r="B55" s="39">
        <f aca="true" t="shared" si="12" ref="B55:N55">SUM(B56:B58)</f>
        <v>0</v>
      </c>
      <c r="C55" s="39">
        <f t="shared" si="12"/>
        <v>29028.53</v>
      </c>
      <c r="D55" s="39">
        <f t="shared" si="12"/>
        <v>0</v>
      </c>
      <c r="E55" s="39">
        <f t="shared" si="12"/>
        <v>0</v>
      </c>
      <c r="F55" s="39">
        <f t="shared" si="12"/>
        <v>0</v>
      </c>
      <c r="G55" s="39">
        <f t="shared" si="12"/>
        <v>35253</v>
      </c>
      <c r="H55" s="39">
        <f t="shared" si="12"/>
        <v>41309</v>
      </c>
      <c r="I55" s="39">
        <f t="shared" si="12"/>
        <v>0</v>
      </c>
      <c r="J55" s="39">
        <f t="shared" si="12"/>
        <v>219096.22</v>
      </c>
      <c r="K55" s="39">
        <f t="shared" si="12"/>
        <v>46657.68</v>
      </c>
      <c r="L55" s="39">
        <f t="shared" si="12"/>
        <v>834647.43</v>
      </c>
      <c r="M55" s="39">
        <f t="shared" si="12"/>
        <v>-1239324.02</v>
      </c>
      <c r="N55" s="39">
        <f t="shared" si="12"/>
        <v>0</v>
      </c>
      <c r="O55" s="39">
        <f>SUM(B55:N55)</f>
        <v>-33332.159999999916</v>
      </c>
    </row>
    <row r="56" spans="1:16" s="48" customFormat="1" ht="11.25" outlineLevel="1">
      <c r="A56" s="48" t="s">
        <v>77</v>
      </c>
      <c r="C56" s="48">
        <v>29028.53</v>
      </c>
      <c r="H56" s="48">
        <v>41309</v>
      </c>
      <c r="J56" s="48">
        <f>199999.99+19096.23</f>
        <v>219096.22</v>
      </c>
      <c r="K56" s="48">
        <v>46657.68</v>
      </c>
      <c r="L56" s="48">
        <v>834647.43</v>
      </c>
      <c r="M56" s="48">
        <v>-1239324.02</v>
      </c>
      <c r="O56" s="39">
        <f>SUM(B56:N56)</f>
        <v>-68585.15999999992</v>
      </c>
      <c r="P56" s="49"/>
    </row>
    <row r="57" spans="1:16" s="48" customFormat="1" ht="11.25" outlineLevel="1">
      <c r="A57" s="48" t="s">
        <v>78</v>
      </c>
      <c r="G57" s="48">
        <v>35253</v>
      </c>
      <c r="O57" s="39">
        <f>SUM(B57:N57)</f>
        <v>35253</v>
      </c>
      <c r="P57" s="49"/>
    </row>
    <row r="58" spans="1:16" s="48" customFormat="1" ht="11.25" outlineLevel="1">
      <c r="A58" s="48" t="s">
        <v>79</v>
      </c>
      <c r="O58" s="39">
        <f>SUM(B58:N58)</f>
        <v>0</v>
      </c>
      <c r="P58" s="49"/>
    </row>
    <row r="60" spans="1:15" ht="11.25">
      <c r="A60" s="38" t="s">
        <v>23</v>
      </c>
      <c r="B60" s="39">
        <f>SUM(B61:B61)</f>
        <v>0</v>
      </c>
      <c r="C60" s="39">
        <f>SUM(C61:C62)</f>
        <v>0</v>
      </c>
      <c r="D60" s="39">
        <f>SUM(D61:D61)</f>
        <v>0</v>
      </c>
      <c r="E60" s="39">
        <f>SUM(E61:E61)</f>
        <v>0</v>
      </c>
      <c r="F60" s="39">
        <f>SUM(F61:F61)</f>
        <v>0</v>
      </c>
      <c r="G60" s="39">
        <f>SUM(G61:G61)</f>
        <v>0</v>
      </c>
      <c r="H60" s="39">
        <f>SUM(H61:H61)</f>
        <v>0</v>
      </c>
      <c r="I60" s="39">
        <f>SUM(I61:I62)</f>
        <v>0</v>
      </c>
      <c r="J60" s="39">
        <f>SUM(J61:J61)</f>
        <v>0</v>
      </c>
      <c r="K60" s="39">
        <f>SUM(K61:K61)</f>
        <v>0</v>
      </c>
      <c r="L60" s="39">
        <f>SUM(L61:L62)</f>
        <v>0</v>
      </c>
      <c r="M60" s="39">
        <f>SUM(M61:M61)</f>
        <v>0</v>
      </c>
      <c r="N60" s="39">
        <f>SUM(N61:N61)</f>
        <v>0</v>
      </c>
      <c r="O60" s="39">
        <f>SUM(B60:N60)</f>
        <v>0</v>
      </c>
    </row>
    <row r="61" spans="1:16" s="48" customFormat="1" ht="11.25" outlineLevel="1">
      <c r="A61" s="48" t="s">
        <v>77</v>
      </c>
      <c r="O61" s="39">
        <f>SUM(B61:N61)</f>
        <v>0</v>
      </c>
      <c r="P61" s="49"/>
    </row>
    <row r="62" spans="1:16" s="48" customFormat="1" ht="11.25" outlineLevel="1">
      <c r="A62" s="48" t="s">
        <v>79</v>
      </c>
      <c r="O62" s="39">
        <f>SUM(B62:N62)</f>
        <v>0</v>
      </c>
      <c r="P62" s="49"/>
    </row>
    <row r="64" spans="1:15" ht="11.25">
      <c r="A64" s="38" t="s">
        <v>24</v>
      </c>
      <c r="B64" s="39">
        <f aca="true" t="shared" si="13" ref="B64:N64">SUM(B65:B66)</f>
        <v>652036.1</v>
      </c>
      <c r="C64" s="39">
        <f t="shared" si="13"/>
        <v>128403.77</v>
      </c>
      <c r="D64" s="39">
        <f t="shared" si="13"/>
        <v>26099.21</v>
      </c>
      <c r="E64" s="39">
        <f t="shared" si="13"/>
        <v>0</v>
      </c>
      <c r="F64" s="39">
        <f t="shared" si="13"/>
        <v>794700</v>
      </c>
      <c r="G64" s="39">
        <f t="shared" si="13"/>
        <v>23946</v>
      </c>
      <c r="H64" s="39">
        <f t="shared" si="13"/>
        <v>0</v>
      </c>
      <c r="I64" s="39">
        <f t="shared" si="13"/>
        <v>0</v>
      </c>
      <c r="J64" s="39">
        <f t="shared" si="13"/>
        <v>37542.77</v>
      </c>
      <c r="K64" s="39">
        <f t="shared" si="13"/>
        <v>1262704.56</v>
      </c>
      <c r="L64" s="39">
        <f t="shared" si="13"/>
        <v>4221361.91</v>
      </c>
      <c r="M64" s="39">
        <f t="shared" si="13"/>
        <v>1587630.99</v>
      </c>
      <c r="N64" s="39">
        <f t="shared" si="13"/>
        <v>0</v>
      </c>
      <c r="O64" s="39">
        <f>SUM(B64:N64)</f>
        <v>8734425.31</v>
      </c>
    </row>
    <row r="65" spans="1:16" s="48" customFormat="1" ht="11.25" outlineLevel="1">
      <c r="A65" s="48" t="s">
        <v>77</v>
      </c>
      <c r="B65" s="48">
        <f>624010.89+28025.21</f>
        <v>652036.1</v>
      </c>
      <c r="C65" s="48">
        <v>128403.77</v>
      </c>
      <c r="D65" s="48">
        <v>26099.21</v>
      </c>
      <c r="F65" s="48">
        <v>794700</v>
      </c>
      <c r="G65" s="48">
        <v>23946</v>
      </c>
      <c r="J65" s="48">
        <v>37542.77</v>
      </c>
      <c r="K65" s="48">
        <v>1262704.56</v>
      </c>
      <c r="L65" s="48">
        <v>4221361.91</v>
      </c>
      <c r="M65" s="48">
        <v>1587630.99</v>
      </c>
      <c r="O65" s="39">
        <f>SUM(B65:N65)</f>
        <v>8734425.31</v>
      </c>
      <c r="P65" s="49"/>
    </row>
    <row r="66" spans="1:16" s="48" customFormat="1" ht="11.25" outlineLevel="1">
      <c r="A66" s="48" t="s">
        <v>79</v>
      </c>
      <c r="O66" s="39">
        <f>SUM(B66:N66)</f>
        <v>0</v>
      </c>
      <c r="P66" s="49"/>
    </row>
    <row r="67" spans="2:15" ht="11.25">
      <c r="B67" s="50"/>
      <c r="C67" s="50"/>
      <c r="D67" s="50"/>
      <c r="E67" s="50"/>
      <c r="F67" s="50"/>
      <c r="G67" s="50"/>
      <c r="H67" s="50"/>
      <c r="I67" s="50"/>
      <c r="J67" s="50"/>
      <c r="K67" s="50"/>
      <c r="L67" s="50"/>
      <c r="M67" s="50"/>
      <c r="N67" s="50"/>
      <c r="O67" s="50"/>
    </row>
    <row r="68" spans="1:15" ht="12" thickBot="1">
      <c r="A68" s="38" t="s">
        <v>7</v>
      </c>
      <c r="B68" s="51">
        <f aca="true" t="shared" si="14" ref="B68:N68">B64+B60+B55</f>
        <v>652036.1</v>
      </c>
      <c r="C68" s="51">
        <f t="shared" si="14"/>
        <v>157432.3</v>
      </c>
      <c r="D68" s="51">
        <f t="shared" si="14"/>
        <v>26099.21</v>
      </c>
      <c r="E68" s="51">
        <f t="shared" si="14"/>
        <v>0</v>
      </c>
      <c r="F68" s="51">
        <f t="shared" si="14"/>
        <v>794700</v>
      </c>
      <c r="G68" s="51">
        <f t="shared" si="14"/>
        <v>59199</v>
      </c>
      <c r="H68" s="51">
        <f t="shared" si="14"/>
        <v>41309</v>
      </c>
      <c r="I68" s="51">
        <f t="shared" si="14"/>
        <v>0</v>
      </c>
      <c r="J68" s="51">
        <f t="shared" si="14"/>
        <v>256638.99</v>
      </c>
      <c r="K68" s="51">
        <f t="shared" si="14"/>
        <v>1309362.24</v>
      </c>
      <c r="L68" s="51">
        <f t="shared" si="14"/>
        <v>5056009.34</v>
      </c>
      <c r="M68" s="51">
        <f t="shared" si="14"/>
        <v>348306.97</v>
      </c>
      <c r="N68" s="51">
        <f t="shared" si="14"/>
        <v>0</v>
      </c>
      <c r="O68" s="51">
        <f>SUM(B68:M68)</f>
        <v>8701093.15</v>
      </c>
    </row>
    <row r="69" ht="11.25" customHeight="1" thickTop="1"/>
    <row r="72" spans="1:15" ht="11.25">
      <c r="A72" s="38" t="s">
        <v>92</v>
      </c>
      <c r="H72" s="40"/>
      <c r="O72" s="41" t="s">
        <v>86</v>
      </c>
    </row>
    <row r="73" ht="11.25">
      <c r="A73" s="38" t="s">
        <v>28</v>
      </c>
    </row>
    <row r="74" ht="11.25">
      <c r="L74" s="43"/>
    </row>
    <row r="75" spans="1:15" ht="11.25">
      <c r="A75" s="38" t="s">
        <v>85</v>
      </c>
      <c r="B75" s="44"/>
      <c r="C75" s="44"/>
      <c r="D75" s="44"/>
      <c r="E75" s="44"/>
      <c r="F75" s="44"/>
      <c r="G75" s="44"/>
      <c r="H75" s="44" t="s">
        <v>1</v>
      </c>
      <c r="I75" s="44"/>
      <c r="J75" s="44"/>
      <c r="K75" s="44"/>
      <c r="L75" s="45" t="s">
        <v>29</v>
      </c>
      <c r="M75" s="44"/>
      <c r="N75" s="44"/>
      <c r="O75" s="44" t="s">
        <v>94</v>
      </c>
    </row>
    <row r="76" spans="2:15" ht="11.25">
      <c r="B76" s="44" t="s">
        <v>2</v>
      </c>
      <c r="C76" s="44"/>
      <c r="D76" s="44" t="s">
        <v>3</v>
      </c>
      <c r="E76" s="44"/>
      <c r="F76" s="44"/>
      <c r="G76" s="44"/>
      <c r="H76" s="44" t="s">
        <v>4</v>
      </c>
      <c r="I76" s="44"/>
      <c r="J76" s="44" t="s">
        <v>5</v>
      </c>
      <c r="K76" s="44" t="s">
        <v>6</v>
      </c>
      <c r="L76" s="45" t="s">
        <v>30</v>
      </c>
      <c r="M76" s="44"/>
      <c r="N76" s="44"/>
      <c r="O76" s="44" t="s">
        <v>7</v>
      </c>
    </row>
    <row r="77" spans="2:15" ht="11.25">
      <c r="B77" s="46" t="s">
        <v>8</v>
      </c>
      <c r="C77" s="46" t="s">
        <v>9</v>
      </c>
      <c r="D77" s="46" t="s">
        <v>10</v>
      </c>
      <c r="E77" s="46" t="s">
        <v>11</v>
      </c>
      <c r="F77" s="46" t="s">
        <v>12</v>
      </c>
      <c r="G77" s="46" t="s">
        <v>13</v>
      </c>
      <c r="H77" s="46" t="s">
        <v>10</v>
      </c>
      <c r="I77" s="46" t="s">
        <v>14</v>
      </c>
      <c r="J77" s="46" t="s">
        <v>15</v>
      </c>
      <c r="K77" s="46" t="s">
        <v>16</v>
      </c>
      <c r="L77" s="47" t="s">
        <v>10</v>
      </c>
      <c r="M77" s="46" t="s">
        <v>26</v>
      </c>
      <c r="N77" s="46" t="s">
        <v>76</v>
      </c>
      <c r="O77" s="46" t="s">
        <v>8</v>
      </c>
    </row>
    <row r="78" spans="1:15" ht="11.25">
      <c r="A78" s="38" t="s">
        <v>25</v>
      </c>
      <c r="B78" s="39">
        <f aca="true" t="shared" si="15" ref="B78:N78">SUM(B79:B81)</f>
        <v>0</v>
      </c>
      <c r="C78" s="39">
        <f t="shared" si="15"/>
        <v>3573.21</v>
      </c>
      <c r="D78" s="39">
        <f t="shared" si="15"/>
        <v>0</v>
      </c>
      <c r="E78" s="39">
        <f t="shared" si="15"/>
        <v>0</v>
      </c>
      <c r="F78" s="39">
        <f t="shared" si="15"/>
        <v>0</v>
      </c>
      <c r="G78" s="39">
        <f t="shared" si="15"/>
        <v>580</v>
      </c>
      <c r="H78" s="39">
        <f t="shared" si="15"/>
        <v>0</v>
      </c>
      <c r="I78" s="39">
        <f t="shared" si="15"/>
        <v>0</v>
      </c>
      <c r="J78" s="39">
        <f t="shared" si="15"/>
        <v>0</v>
      </c>
      <c r="K78" s="39">
        <f t="shared" si="15"/>
        <v>0</v>
      </c>
      <c r="L78" s="39">
        <f t="shared" si="15"/>
        <v>290264</v>
      </c>
      <c r="M78" s="39">
        <f t="shared" si="15"/>
        <v>0</v>
      </c>
      <c r="N78" s="39">
        <f t="shared" si="15"/>
        <v>0</v>
      </c>
      <c r="O78" s="39">
        <f>SUM(B78:N78)</f>
        <v>294417.21</v>
      </c>
    </row>
    <row r="79" spans="1:16" s="48" customFormat="1" ht="11.25" outlineLevel="1">
      <c r="A79" s="48" t="s">
        <v>77</v>
      </c>
      <c r="C79" s="48">
        <v>3573.21</v>
      </c>
      <c r="L79" s="48">
        <v>290264</v>
      </c>
      <c r="O79" s="39">
        <f>SUM(B79:N79)</f>
        <v>293837.21</v>
      </c>
      <c r="P79" s="49"/>
    </row>
    <row r="80" spans="1:16" s="48" customFormat="1" ht="11.25" outlineLevel="1">
      <c r="A80" s="48" t="s">
        <v>78</v>
      </c>
      <c r="G80" s="48">
        <v>580</v>
      </c>
      <c r="O80" s="39">
        <f>SUM(B80:N80)</f>
        <v>580</v>
      </c>
      <c r="P80" s="49"/>
    </row>
    <row r="81" spans="1:16" s="48" customFormat="1" ht="11.25" outlineLevel="1">
      <c r="A81" s="48" t="s">
        <v>79</v>
      </c>
      <c r="O81" s="39">
        <f>SUM(B81:N81)</f>
        <v>0</v>
      </c>
      <c r="P81" s="49"/>
    </row>
    <row r="83" spans="1:15" ht="11.25">
      <c r="A83" s="38" t="s">
        <v>23</v>
      </c>
      <c r="B83" s="39">
        <f>SUM(B84:B84)</f>
        <v>0</v>
      </c>
      <c r="C83" s="39">
        <f>SUM(C84:C85)</f>
        <v>0</v>
      </c>
      <c r="D83" s="39">
        <f aca="true" t="shared" si="16" ref="D83:N83">SUM(D84:D84)</f>
        <v>0</v>
      </c>
      <c r="E83" s="39">
        <f t="shared" si="16"/>
        <v>0</v>
      </c>
      <c r="F83" s="39">
        <f t="shared" si="16"/>
        <v>0</v>
      </c>
      <c r="G83" s="39">
        <f t="shared" si="16"/>
        <v>0</v>
      </c>
      <c r="H83" s="39">
        <f t="shared" si="16"/>
        <v>0</v>
      </c>
      <c r="I83" s="39">
        <f t="shared" si="16"/>
        <v>0</v>
      </c>
      <c r="J83" s="39">
        <f t="shared" si="16"/>
        <v>0</v>
      </c>
      <c r="K83" s="39">
        <f t="shared" si="16"/>
        <v>0</v>
      </c>
      <c r="L83" s="39">
        <f t="shared" si="16"/>
        <v>0</v>
      </c>
      <c r="M83" s="39">
        <f t="shared" si="16"/>
        <v>0</v>
      </c>
      <c r="N83" s="39">
        <f t="shared" si="16"/>
        <v>0</v>
      </c>
      <c r="O83" s="39">
        <f>SUM(B83:N83)</f>
        <v>0</v>
      </c>
    </row>
    <row r="84" spans="1:16" s="48" customFormat="1" ht="11.25" outlineLevel="1">
      <c r="A84" s="48" t="s">
        <v>77</v>
      </c>
      <c r="O84" s="39">
        <f>SUM(B84:N84)</f>
        <v>0</v>
      </c>
      <c r="P84" s="49"/>
    </row>
    <row r="85" spans="1:16" s="48" customFormat="1" ht="11.25" outlineLevel="1">
      <c r="A85" s="48" t="s">
        <v>79</v>
      </c>
      <c r="C85" s="48">
        <v>0</v>
      </c>
      <c r="O85" s="39">
        <f>SUM(B85:N85)</f>
        <v>0</v>
      </c>
      <c r="P85" s="49"/>
    </row>
    <row r="87" spans="1:15" ht="11.25">
      <c r="A87" s="38" t="s">
        <v>24</v>
      </c>
      <c r="B87" s="39">
        <f aca="true" t="shared" si="17" ref="B87:N87">SUM(B88:B89)</f>
        <v>0</v>
      </c>
      <c r="C87" s="39">
        <f t="shared" si="17"/>
        <v>0</v>
      </c>
      <c r="D87" s="39">
        <f t="shared" si="17"/>
        <v>0</v>
      </c>
      <c r="E87" s="39">
        <f t="shared" si="17"/>
        <v>0</v>
      </c>
      <c r="F87" s="39">
        <f t="shared" si="17"/>
        <v>0</v>
      </c>
      <c r="G87" s="39">
        <f t="shared" si="17"/>
        <v>22699.44</v>
      </c>
      <c r="H87" s="39">
        <f t="shared" si="17"/>
        <v>0</v>
      </c>
      <c r="I87" s="39">
        <f t="shared" si="17"/>
        <v>0</v>
      </c>
      <c r="J87" s="39">
        <f t="shared" si="17"/>
        <v>89151</v>
      </c>
      <c r="K87" s="39">
        <f t="shared" si="17"/>
        <v>0</v>
      </c>
      <c r="L87" s="39">
        <f t="shared" si="17"/>
        <v>1800429</v>
      </c>
      <c r="M87" s="39">
        <f t="shared" si="17"/>
        <v>107955.93</v>
      </c>
      <c r="N87" s="39">
        <f t="shared" si="17"/>
        <v>0</v>
      </c>
      <c r="O87" s="39">
        <f>SUM(B87:N87)</f>
        <v>2020235.3699999999</v>
      </c>
    </row>
    <row r="88" spans="1:16" s="48" customFormat="1" ht="11.25" outlineLevel="1">
      <c r="A88" s="48" t="s">
        <v>77</v>
      </c>
      <c r="G88" s="48">
        <v>22699.44</v>
      </c>
      <c r="J88" s="48">
        <v>89151</v>
      </c>
      <c r="L88" s="48">
        <v>1800429</v>
      </c>
      <c r="M88" s="48">
        <v>107955.93</v>
      </c>
      <c r="O88" s="39">
        <f>SUM(B88:N88)</f>
        <v>2020235.3699999999</v>
      </c>
      <c r="P88" s="49"/>
    </row>
    <row r="89" spans="1:16" s="48" customFormat="1" ht="11.25" outlineLevel="1">
      <c r="A89" s="48" t="s">
        <v>79</v>
      </c>
      <c r="O89" s="39">
        <f>SUM(B89:N89)</f>
        <v>0</v>
      </c>
      <c r="P89" s="49"/>
    </row>
    <row r="90" spans="2:15" ht="11.25">
      <c r="B90" s="50"/>
      <c r="C90" s="50"/>
      <c r="D90" s="50"/>
      <c r="E90" s="50"/>
      <c r="F90" s="50"/>
      <c r="G90" s="50"/>
      <c r="H90" s="50"/>
      <c r="I90" s="50"/>
      <c r="J90" s="50"/>
      <c r="K90" s="50"/>
      <c r="L90" s="50"/>
      <c r="M90" s="50"/>
      <c r="N90" s="50"/>
      <c r="O90" s="50"/>
    </row>
    <row r="91" spans="1:15" ht="12" thickBot="1">
      <c r="A91" s="38" t="s">
        <v>7</v>
      </c>
      <c r="B91" s="51">
        <f aca="true" t="shared" si="18" ref="B91:N91">B87+B83+B78</f>
        <v>0</v>
      </c>
      <c r="C91" s="51">
        <f t="shared" si="18"/>
        <v>3573.21</v>
      </c>
      <c r="D91" s="51">
        <f t="shared" si="18"/>
        <v>0</v>
      </c>
      <c r="E91" s="51">
        <f t="shared" si="18"/>
        <v>0</v>
      </c>
      <c r="F91" s="51">
        <f t="shared" si="18"/>
        <v>0</v>
      </c>
      <c r="G91" s="51">
        <f t="shared" si="18"/>
        <v>23279.44</v>
      </c>
      <c r="H91" s="51">
        <f t="shared" si="18"/>
        <v>0</v>
      </c>
      <c r="I91" s="51">
        <f t="shared" si="18"/>
        <v>0</v>
      </c>
      <c r="J91" s="51">
        <f t="shared" si="18"/>
        <v>89151</v>
      </c>
      <c r="K91" s="51">
        <f t="shared" si="18"/>
        <v>0</v>
      </c>
      <c r="L91" s="51">
        <f t="shared" si="18"/>
        <v>2090693</v>
      </c>
      <c r="M91" s="51">
        <f t="shared" si="18"/>
        <v>107955.93</v>
      </c>
      <c r="N91" s="51">
        <f t="shared" si="18"/>
        <v>0</v>
      </c>
      <c r="O91" s="52">
        <f>SUM(B91:N91)</f>
        <v>2314652.58</v>
      </c>
    </row>
    <row r="92" ht="12" thickTop="1"/>
    <row r="95" spans="1:15" ht="11.25">
      <c r="A95" s="38" t="s">
        <v>92</v>
      </c>
      <c r="H95" s="40"/>
      <c r="O95" s="41" t="s">
        <v>87</v>
      </c>
    </row>
    <row r="96" ht="11.25">
      <c r="A96" s="38" t="s">
        <v>0</v>
      </c>
    </row>
    <row r="97" ht="11.25">
      <c r="L97" s="43"/>
    </row>
    <row r="98" spans="1:15" ht="11.25">
      <c r="A98" s="38" t="s">
        <v>88</v>
      </c>
      <c r="B98" s="44"/>
      <c r="C98" s="44"/>
      <c r="D98" s="44"/>
      <c r="E98" s="44"/>
      <c r="F98" s="44"/>
      <c r="G98" s="44"/>
      <c r="H98" s="44" t="s">
        <v>1</v>
      </c>
      <c r="I98" s="44"/>
      <c r="J98" s="44"/>
      <c r="K98" s="44"/>
      <c r="L98" s="45" t="s">
        <v>29</v>
      </c>
      <c r="M98" s="44"/>
      <c r="N98" s="44"/>
      <c r="O98" s="44" t="s">
        <v>94</v>
      </c>
    </row>
    <row r="99" spans="2:15" ht="11.25">
      <c r="B99" s="44" t="s">
        <v>2</v>
      </c>
      <c r="C99" s="44"/>
      <c r="D99" s="44" t="s">
        <v>3</v>
      </c>
      <c r="E99" s="44"/>
      <c r="F99" s="44"/>
      <c r="G99" s="44"/>
      <c r="H99" s="44" t="s">
        <v>4</v>
      </c>
      <c r="I99" s="44"/>
      <c r="J99" s="44" t="s">
        <v>5</v>
      </c>
      <c r="K99" s="44" t="s">
        <v>6</v>
      </c>
      <c r="L99" s="45" t="s">
        <v>30</v>
      </c>
      <c r="M99" s="44"/>
      <c r="N99" s="44"/>
      <c r="O99" s="44" t="s">
        <v>7</v>
      </c>
    </row>
    <row r="100" spans="2:15" ht="11.25">
      <c r="B100" s="46" t="s">
        <v>8</v>
      </c>
      <c r="C100" s="46" t="s">
        <v>9</v>
      </c>
      <c r="D100" s="46" t="s">
        <v>10</v>
      </c>
      <c r="E100" s="46" t="s">
        <v>11</v>
      </c>
      <c r="F100" s="46" t="s">
        <v>12</v>
      </c>
      <c r="G100" s="46" t="s">
        <v>13</v>
      </c>
      <c r="H100" s="46" t="s">
        <v>10</v>
      </c>
      <c r="I100" s="46" t="s">
        <v>14</v>
      </c>
      <c r="J100" s="46" t="s">
        <v>15</v>
      </c>
      <c r="K100" s="46" t="s">
        <v>16</v>
      </c>
      <c r="L100" s="47" t="s">
        <v>10</v>
      </c>
      <c r="M100" s="46" t="s">
        <v>26</v>
      </c>
      <c r="N100" s="46" t="s">
        <v>76</v>
      </c>
      <c r="O100" s="46" t="s">
        <v>8</v>
      </c>
    </row>
    <row r="101" spans="1:15" ht="11.25">
      <c r="A101" s="39" t="s">
        <v>89</v>
      </c>
      <c r="B101" s="39">
        <f>'Sponsored Programs'!B33</f>
        <v>27287413.5</v>
      </c>
      <c r="C101" s="39">
        <f>'Sponsored Programs'!C33</f>
        <v>99653650.38000001</v>
      </c>
      <c r="D101" s="39">
        <f>'Sponsored Programs'!D33</f>
        <v>27495708.968999997</v>
      </c>
      <c r="E101" s="39">
        <f>'Sponsored Programs'!E33</f>
        <v>4335025.609999999</v>
      </c>
      <c r="F101" s="39">
        <f>'Sponsored Programs'!F33</f>
        <v>9746329.78</v>
      </c>
      <c r="G101" s="39">
        <f>'Sponsored Programs'!G33</f>
        <v>33410931.819999997</v>
      </c>
      <c r="H101" s="39">
        <f>'Sponsored Programs'!H33</f>
        <v>7628483.32</v>
      </c>
      <c r="I101" s="39">
        <f>'Sponsored Programs'!I33</f>
        <v>2413414.0200000005</v>
      </c>
      <c r="J101" s="39">
        <f>'Sponsored Programs'!J33</f>
        <v>17696665.240000002</v>
      </c>
      <c r="K101" s="39">
        <f>'Sponsored Programs'!K33</f>
        <v>6202868.850000001</v>
      </c>
      <c r="L101" s="39">
        <f>'Sponsored Programs'!L33</f>
        <v>12681774.04</v>
      </c>
      <c r="M101" s="39">
        <f>'Sponsored Programs'!M33</f>
        <v>429687.77</v>
      </c>
      <c r="N101" s="39">
        <f>'Sponsored Programs'!N33</f>
        <v>31158170.67</v>
      </c>
      <c r="O101" s="39">
        <f>SUM(B101:N101)</f>
        <v>280140123.969</v>
      </c>
    </row>
    <row r="102" spans="1:16" ht="11.25">
      <c r="A102" s="39" t="s">
        <v>90</v>
      </c>
      <c r="B102" s="39">
        <f>B21</f>
        <v>3375959.06</v>
      </c>
      <c r="C102" s="39">
        <f aca="true" t="shared" si="19" ref="C102:N102">C21</f>
        <v>5011490.31</v>
      </c>
      <c r="D102" s="39">
        <f t="shared" si="19"/>
        <v>204726.66</v>
      </c>
      <c r="E102" s="39">
        <f t="shared" si="19"/>
        <v>0</v>
      </c>
      <c r="F102" s="39">
        <f t="shared" si="19"/>
        <v>794700</v>
      </c>
      <c r="G102" s="39">
        <f t="shared" si="19"/>
        <v>495428.83999999997</v>
      </c>
      <c r="H102" s="39">
        <f t="shared" si="19"/>
        <v>41309</v>
      </c>
      <c r="I102" s="39">
        <f t="shared" si="19"/>
        <v>0</v>
      </c>
      <c r="J102" s="39">
        <f t="shared" si="19"/>
        <v>345789.99</v>
      </c>
      <c r="K102" s="39">
        <f t="shared" si="19"/>
        <v>1309362.24</v>
      </c>
      <c r="L102" s="39">
        <f t="shared" si="19"/>
        <v>8253142.49</v>
      </c>
      <c r="M102" s="39">
        <f t="shared" si="19"/>
        <v>876419.8300000005</v>
      </c>
      <c r="N102" s="39">
        <f t="shared" si="19"/>
        <v>0</v>
      </c>
      <c r="O102" s="39">
        <f>SUM(B102:N102)</f>
        <v>20708328.42</v>
      </c>
      <c r="P102" s="42" t="s">
        <v>34</v>
      </c>
    </row>
    <row r="104" spans="1:15" ht="12" thickBot="1">
      <c r="A104" s="38" t="s">
        <v>7</v>
      </c>
      <c r="B104" s="52">
        <f aca="true" t="shared" si="20" ref="B104:O104">SUM(B101:B103)</f>
        <v>30663372.56</v>
      </c>
      <c r="C104" s="52">
        <f t="shared" si="20"/>
        <v>104665140.69000001</v>
      </c>
      <c r="D104" s="52">
        <f t="shared" si="20"/>
        <v>27700435.628999997</v>
      </c>
      <c r="E104" s="52">
        <f t="shared" si="20"/>
        <v>4335025.609999999</v>
      </c>
      <c r="F104" s="52">
        <f t="shared" si="20"/>
        <v>10541029.78</v>
      </c>
      <c r="G104" s="52">
        <f t="shared" si="20"/>
        <v>33906360.66</v>
      </c>
      <c r="H104" s="52">
        <f t="shared" si="20"/>
        <v>7669792.32</v>
      </c>
      <c r="I104" s="52">
        <f t="shared" si="20"/>
        <v>2413414.0200000005</v>
      </c>
      <c r="J104" s="52">
        <f t="shared" si="20"/>
        <v>18042455.23</v>
      </c>
      <c r="K104" s="52">
        <f t="shared" si="20"/>
        <v>7512231.090000001</v>
      </c>
      <c r="L104" s="52">
        <f t="shared" si="20"/>
        <v>20934916.53</v>
      </c>
      <c r="M104" s="52">
        <f t="shared" si="20"/>
        <v>1306107.6000000006</v>
      </c>
      <c r="N104" s="52">
        <f t="shared" si="20"/>
        <v>31158170.67</v>
      </c>
      <c r="O104" s="52">
        <f t="shared" si="20"/>
        <v>300848452.389</v>
      </c>
    </row>
    <row r="105" ht="12" thickTop="1"/>
    <row r="108" spans="1:15" ht="11.25">
      <c r="A108" s="38" t="s">
        <v>95</v>
      </c>
      <c r="H108" s="40"/>
      <c r="O108" s="41" t="s">
        <v>87</v>
      </c>
    </row>
    <row r="109" ht="11.25">
      <c r="A109" s="38" t="s">
        <v>0</v>
      </c>
    </row>
    <row r="110" ht="11.25">
      <c r="L110" s="43"/>
    </row>
    <row r="111" spans="1:15" ht="11.25">
      <c r="A111" s="38" t="s">
        <v>88</v>
      </c>
      <c r="B111" s="44"/>
      <c r="C111" s="44"/>
      <c r="D111" s="44"/>
      <c r="E111" s="44"/>
      <c r="F111" s="44"/>
      <c r="G111" s="44"/>
      <c r="H111" s="44" t="s">
        <v>1</v>
      </c>
      <c r="I111" s="44"/>
      <c r="J111" s="44"/>
      <c r="K111" s="44"/>
      <c r="L111" s="45" t="s">
        <v>29</v>
      </c>
      <c r="M111" s="44"/>
      <c r="N111" s="44"/>
      <c r="O111" s="44" t="s">
        <v>91</v>
      </c>
    </row>
    <row r="112" spans="2:15" ht="11.25">
      <c r="B112" s="44" t="s">
        <v>2</v>
      </c>
      <c r="C112" s="44"/>
      <c r="D112" s="44" t="s">
        <v>3</v>
      </c>
      <c r="E112" s="44"/>
      <c r="F112" s="44"/>
      <c r="G112" s="44"/>
      <c r="H112" s="44" t="s">
        <v>4</v>
      </c>
      <c r="I112" s="44"/>
      <c r="J112" s="44" t="s">
        <v>5</v>
      </c>
      <c r="K112" s="44" t="s">
        <v>6</v>
      </c>
      <c r="L112" s="45" t="s">
        <v>30</v>
      </c>
      <c r="M112" s="44"/>
      <c r="N112" s="44"/>
      <c r="O112" s="44" t="s">
        <v>7</v>
      </c>
    </row>
    <row r="113" spans="2:15" ht="11.25">
      <c r="B113" s="46" t="s">
        <v>8</v>
      </c>
      <c r="C113" s="46" t="s">
        <v>9</v>
      </c>
      <c r="D113" s="46" t="s">
        <v>10</v>
      </c>
      <c r="E113" s="46" t="s">
        <v>11</v>
      </c>
      <c r="F113" s="46" t="s">
        <v>12</v>
      </c>
      <c r="G113" s="46" t="s">
        <v>13</v>
      </c>
      <c r="H113" s="46" t="s">
        <v>10</v>
      </c>
      <c r="I113" s="46" t="s">
        <v>14</v>
      </c>
      <c r="J113" s="46" t="s">
        <v>15</v>
      </c>
      <c r="K113" s="46" t="s">
        <v>16</v>
      </c>
      <c r="L113" s="47" t="s">
        <v>10</v>
      </c>
      <c r="M113" s="46" t="s">
        <v>26</v>
      </c>
      <c r="N113" s="46" t="s">
        <v>76</v>
      </c>
      <c r="O113" s="46" t="s">
        <v>8</v>
      </c>
    </row>
    <row r="114" spans="1:15" ht="11.25">
      <c r="A114" s="39" t="s">
        <v>89</v>
      </c>
      <c r="B114" s="39">
        <v>26318208</v>
      </c>
      <c r="C114" s="39">
        <v>97844694</v>
      </c>
      <c r="D114" s="39">
        <v>24531253</v>
      </c>
      <c r="E114" s="39">
        <v>4873427</v>
      </c>
      <c r="F114" s="39">
        <v>10090937</v>
      </c>
      <c r="G114" s="39">
        <v>33113694</v>
      </c>
      <c r="H114" s="39">
        <v>7527167</v>
      </c>
      <c r="I114" s="39">
        <v>1807995</v>
      </c>
      <c r="J114" s="39">
        <v>16006715</v>
      </c>
      <c r="K114" s="39">
        <v>5834961</v>
      </c>
      <c r="L114" s="39">
        <v>13444135</v>
      </c>
      <c r="M114" s="39">
        <v>589884</v>
      </c>
      <c r="N114" s="39">
        <v>0</v>
      </c>
      <c r="O114" s="39">
        <f>SUM(B114:N114)</f>
        <v>241983070</v>
      </c>
    </row>
    <row r="115" spans="1:16" ht="11.25">
      <c r="A115" s="39" t="s">
        <v>90</v>
      </c>
      <c r="B115" s="39">
        <v>11826707</v>
      </c>
      <c r="C115" s="39">
        <v>8951962</v>
      </c>
      <c r="D115" s="39">
        <v>2267916</v>
      </c>
      <c r="E115" s="39">
        <v>2197868</v>
      </c>
      <c r="F115" s="39">
        <v>0</v>
      </c>
      <c r="G115" s="39">
        <v>932513</v>
      </c>
      <c r="H115" s="39">
        <v>445241</v>
      </c>
      <c r="I115" s="39">
        <v>2007273</v>
      </c>
      <c r="J115" s="39">
        <v>563124</v>
      </c>
      <c r="K115" s="39">
        <v>4187891</v>
      </c>
      <c r="L115" s="39">
        <v>8072517</v>
      </c>
      <c r="M115" s="39">
        <v>1253795</v>
      </c>
      <c r="N115" s="39">
        <v>28555763</v>
      </c>
      <c r="O115" s="39">
        <f>SUM(B115:N115)</f>
        <v>71262570</v>
      </c>
      <c r="P115" s="42" t="s">
        <v>34</v>
      </c>
    </row>
    <row r="117" spans="1:15" ht="12" thickBot="1">
      <c r="A117" s="38" t="s">
        <v>7</v>
      </c>
      <c r="B117" s="52">
        <f aca="true" t="shared" si="21" ref="B117:O117">SUM(B114:B116)</f>
        <v>38144915</v>
      </c>
      <c r="C117" s="52">
        <f t="shared" si="21"/>
        <v>106796656</v>
      </c>
      <c r="D117" s="52">
        <f t="shared" si="21"/>
        <v>26799169</v>
      </c>
      <c r="E117" s="52">
        <f t="shared" si="21"/>
        <v>7071295</v>
      </c>
      <c r="F117" s="52">
        <f t="shared" si="21"/>
        <v>10090937</v>
      </c>
      <c r="G117" s="52">
        <f t="shared" si="21"/>
        <v>34046207</v>
      </c>
      <c r="H117" s="52">
        <f t="shared" si="21"/>
        <v>7972408</v>
      </c>
      <c r="I117" s="52">
        <f t="shared" si="21"/>
        <v>3815268</v>
      </c>
      <c r="J117" s="52">
        <f t="shared" si="21"/>
        <v>16569839</v>
      </c>
      <c r="K117" s="52">
        <f t="shared" si="21"/>
        <v>10022852</v>
      </c>
      <c r="L117" s="52">
        <f t="shared" si="21"/>
        <v>21516652</v>
      </c>
      <c r="M117" s="52">
        <f t="shared" si="21"/>
        <v>1843679</v>
      </c>
      <c r="N117" s="52">
        <f t="shared" si="21"/>
        <v>28555763</v>
      </c>
      <c r="O117" s="52">
        <f t="shared" si="21"/>
        <v>313245640</v>
      </c>
    </row>
    <row r="118" ht="12" thickTop="1"/>
  </sheetData>
  <sheetProtection/>
  <printOptions/>
  <pageMargins left="0.5" right="0.5" top="0.5" bottom="0.5" header="0.25" footer="0.5"/>
  <pageSetup horizontalDpi="600" verticalDpi="600" orientation="landscape" scale="75" r:id="rId1"/>
  <headerFooter alignWithMargins="0">
    <oddHeader>&amp;L&amp;D&amp;C&amp;F</oddHeader>
    <oddFooter>&amp;L&amp;"Arial,Bold"* The information on this page, as provided by the respective College, is to be used for informational purposes only.  This information has not been audited, and therefore, GCFA can not attest to the accuracy of this information.&amp;C
</oddFooter>
  </headerFooter>
  <rowBreaks count="4" manualBreakCount="4">
    <brk id="22" max="255" man="1"/>
    <brk id="46" max="255" man="1"/>
    <brk id="69" max="255" man="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Sponsored Program Expenditures for FY95</dc:title>
  <dc:subject>SP EXP FOR fy95</dc:subject>
  <dc:creator>Stefanie McCubbins</dc:creator>
  <cp:keywords/>
  <dc:description/>
  <cp:lastModifiedBy>Walters, Jeff</cp:lastModifiedBy>
  <cp:lastPrinted>2012-12-11T17:41:01Z</cp:lastPrinted>
  <dcterms:created xsi:type="dcterms:W3CDTF">1997-10-10T20:56:20Z</dcterms:created>
  <dcterms:modified xsi:type="dcterms:W3CDTF">2012-12-11T23:20:12Z</dcterms:modified>
  <cp:category/>
  <cp:version/>
  <cp:contentType/>
  <cp:contentStatus/>
</cp:coreProperties>
</file>